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495" yWindow="360" windowWidth="16605" windowHeight="11415" tabRatio="828"/>
  </bookViews>
  <sheets>
    <sheet name="결산총괄표" sheetId="28" r:id="rId1"/>
    <sheet name="결산수입" sheetId="29" r:id="rId2"/>
    <sheet name="결산지출" sheetId="30" r:id="rId3"/>
    <sheet name="2009지출세부내역" sheetId="4" state="hidden" r:id="rId4"/>
    <sheet name="수입결산서" sheetId="33" r:id="rId5"/>
    <sheet name="지출결산서" sheetId="35" r:id="rId6"/>
  </sheets>
  <definedNames>
    <definedName name="_xlnm.Print_Titles" localSheetId="3">'2009지출세부내역'!$3:$4</definedName>
    <definedName name="_xlnm.Print_Titles" localSheetId="5">지출결산서!$3:$4</definedName>
  </definedNames>
  <calcPr calcId="144525"/>
</workbook>
</file>

<file path=xl/calcChain.xml><?xml version="1.0" encoding="utf-8"?>
<calcChain xmlns="http://schemas.openxmlformats.org/spreadsheetml/2006/main">
  <c r="D28" i="28" l="1"/>
  <c r="C28" i="28"/>
  <c r="D15" i="28"/>
  <c r="E89" i="30"/>
  <c r="D89" i="30"/>
  <c r="E7" i="30"/>
  <c r="D7" i="30"/>
  <c r="E83" i="30"/>
  <c r="D83" i="30"/>
  <c r="E80" i="30"/>
  <c r="D80" i="30"/>
  <c r="E76" i="30"/>
  <c r="D76" i="30"/>
  <c r="E63" i="30"/>
  <c r="D63" i="30"/>
  <c r="E54" i="30"/>
  <c r="D54" i="30"/>
  <c r="E52" i="30"/>
  <c r="D52" i="30"/>
  <c r="E41" i="30"/>
  <c r="D41" i="30"/>
  <c r="E34" i="30" l="1"/>
  <c r="D34" i="30"/>
  <c r="E31" i="30"/>
  <c r="D31" i="30"/>
  <c r="E8" i="30"/>
  <c r="D8" i="30"/>
  <c r="E34" i="29"/>
  <c r="D34" i="29"/>
  <c r="E32" i="29"/>
  <c r="D32" i="29"/>
  <c r="E30" i="29"/>
  <c r="D30" i="29"/>
  <c r="E28" i="29"/>
  <c r="D28" i="29"/>
  <c r="E26" i="29"/>
  <c r="D26" i="29"/>
  <c r="E21" i="29"/>
  <c r="D21" i="29"/>
  <c r="E9" i="29"/>
  <c r="E8" i="29" s="1"/>
  <c r="D9" i="29"/>
  <c r="D8" i="29" s="1"/>
  <c r="E526" i="35" l="1"/>
  <c r="D526" i="35"/>
  <c r="E523" i="35"/>
  <c r="D523" i="35"/>
  <c r="E513" i="35"/>
  <c r="D513" i="35"/>
  <c r="E512" i="35"/>
  <c r="D512" i="35"/>
  <c r="E508" i="35"/>
  <c r="D508" i="35"/>
  <c r="E500" i="35"/>
  <c r="D500" i="35"/>
  <c r="E493" i="35"/>
  <c r="D493" i="35"/>
  <c r="E492" i="35"/>
  <c r="D492" i="35"/>
  <c r="E489" i="35"/>
  <c r="D489" i="35"/>
  <c r="E484" i="35"/>
  <c r="D484" i="35"/>
  <c r="E463" i="35"/>
  <c r="D463" i="35"/>
  <c r="E458" i="35"/>
  <c r="D458" i="35"/>
  <c r="E440" i="35"/>
  <c r="D440" i="35"/>
  <c r="E426" i="35"/>
  <c r="D426" i="35"/>
  <c r="E417" i="35"/>
  <c r="D417" i="35"/>
  <c r="E406" i="35"/>
  <c r="D406" i="35"/>
  <c r="E392" i="35"/>
  <c r="D392" i="35"/>
  <c r="E386" i="35"/>
  <c r="D386" i="35"/>
  <c r="E372" i="35"/>
  <c r="D372" i="35"/>
  <c r="E347" i="35"/>
  <c r="E346" i="35" s="1"/>
  <c r="D347" i="35"/>
  <c r="D346" i="35" s="1"/>
  <c r="E342" i="35"/>
  <c r="D342" i="35"/>
  <c r="E336" i="35"/>
  <c r="D336" i="35"/>
  <c r="E331" i="35"/>
  <c r="D331" i="35"/>
  <c r="E326" i="35"/>
  <c r="D326" i="35"/>
  <c r="E316" i="35"/>
  <c r="D316" i="35"/>
  <c r="E310" i="35"/>
  <c r="D310" i="35"/>
  <c r="E297" i="35"/>
  <c r="D297" i="35"/>
  <c r="D282" i="35" s="1"/>
  <c r="E283" i="35"/>
  <c r="D283" i="35"/>
  <c r="E282" i="35"/>
  <c r="E274" i="35"/>
  <c r="D274" i="35"/>
  <c r="E260" i="35"/>
  <c r="D260" i="35"/>
  <c r="E241" i="35"/>
  <c r="D241" i="35"/>
  <c r="E218" i="35"/>
  <c r="D218" i="35"/>
  <c r="E200" i="35"/>
  <c r="D200" i="35"/>
  <c r="E173" i="35"/>
  <c r="D173" i="35"/>
  <c r="E140" i="35"/>
  <c r="D140" i="35"/>
  <c r="E114" i="35"/>
  <c r="D114" i="35"/>
  <c r="E91" i="35"/>
  <c r="D91" i="35"/>
  <c r="E74" i="35"/>
  <c r="D74" i="35"/>
  <c r="D39" i="35" s="1"/>
  <c r="E40" i="35"/>
  <c r="D40" i="35"/>
  <c r="E39" i="35"/>
  <c r="E32" i="35"/>
  <c r="D32" i="35"/>
  <c r="E29" i="35"/>
  <c r="D29" i="35"/>
  <c r="E6" i="35"/>
  <c r="D6" i="35"/>
  <c r="E5" i="35"/>
  <c r="E533" i="35" s="1"/>
  <c r="D5" i="35"/>
  <c r="D533" i="35" l="1"/>
  <c r="E57" i="33"/>
  <c r="D57" i="33"/>
  <c r="E54" i="33"/>
  <c r="D54" i="33"/>
  <c r="E51" i="33"/>
  <c r="D51" i="33"/>
  <c r="E48" i="33"/>
  <c r="D48" i="33"/>
  <c r="E41" i="33"/>
  <c r="D41" i="33"/>
  <c r="E38" i="33"/>
  <c r="D38" i="33"/>
  <c r="D37" i="33" s="1"/>
  <c r="E37" i="33"/>
  <c r="E8" i="33"/>
  <c r="D8" i="33"/>
  <c r="D7" i="33" s="1"/>
  <c r="E7" i="33"/>
  <c r="E65" i="33" s="1"/>
  <c r="D65" i="33" l="1"/>
  <c r="C15" i="28"/>
  <c r="E6" i="4" l="1"/>
  <c r="J7" i="4"/>
  <c r="J8" i="4"/>
  <c r="J9" i="4"/>
  <c r="J10" i="4"/>
  <c r="J11" i="4"/>
  <c r="J12" i="4"/>
  <c r="F12" i="4" s="1"/>
  <c r="G12" i="4" s="1"/>
  <c r="J13" i="4"/>
  <c r="J15" i="4"/>
  <c r="F14" i="4" s="1"/>
  <c r="G14" i="4" s="1"/>
  <c r="J16" i="4"/>
  <c r="J18" i="4"/>
  <c r="J19" i="4"/>
  <c r="J20" i="4"/>
  <c r="J21" i="4"/>
  <c r="J22" i="4"/>
  <c r="J23" i="4"/>
  <c r="J24" i="4"/>
  <c r="J25" i="4"/>
  <c r="J26" i="4"/>
  <c r="F26" i="4" s="1"/>
  <c r="G26" i="4" s="1"/>
  <c r="J28" i="4"/>
  <c r="F28" i="4" s="1"/>
  <c r="G28" i="4" s="1"/>
  <c r="J30" i="4"/>
  <c r="F29" i="4" s="1"/>
  <c r="G29" i="4" s="1"/>
  <c r="J32" i="4"/>
  <c r="J33" i="4"/>
  <c r="J34" i="4"/>
  <c r="J35" i="4"/>
  <c r="F35" i="4" s="1"/>
  <c r="G35" i="4" s="1"/>
  <c r="J36" i="4"/>
  <c r="J37" i="4"/>
  <c r="F37" i="4" s="1"/>
  <c r="G37" i="4" s="1"/>
  <c r="J38" i="4"/>
  <c r="F38" i="4" s="1"/>
  <c r="G38" i="4" s="1"/>
  <c r="F40" i="4"/>
  <c r="G40" i="4" s="1"/>
  <c r="F41" i="4"/>
  <c r="G41" i="4" s="1"/>
  <c r="F42" i="4"/>
  <c r="G42" i="4" s="1"/>
  <c r="F43" i="4"/>
  <c r="G43" i="4" s="1"/>
  <c r="G47" i="4"/>
  <c r="J48" i="4"/>
  <c r="J49" i="4"/>
  <c r="D50" i="4"/>
  <c r="E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F67" i="4" s="1"/>
  <c r="G67" i="4" s="1"/>
  <c r="J68" i="4"/>
  <c r="F68" i="4" s="1"/>
  <c r="G68" i="4" s="1"/>
  <c r="J69" i="4"/>
  <c r="F69" i="4" s="1"/>
  <c r="G69" i="4" s="1"/>
  <c r="G70" i="4"/>
  <c r="G71" i="4"/>
  <c r="D72" i="4"/>
  <c r="E72" i="4"/>
  <c r="F73" i="4"/>
  <c r="F74" i="4"/>
  <c r="G74" i="4" s="1"/>
  <c r="F75" i="4"/>
  <c r="G75" i="4" s="1"/>
  <c r="F77" i="4"/>
  <c r="G77" i="4" s="1"/>
  <c r="J78" i="4"/>
  <c r="F78" i="4" s="1"/>
  <c r="G78" i="4" s="1"/>
  <c r="G79" i="4"/>
  <c r="G80" i="4"/>
  <c r="E82" i="4"/>
  <c r="J83" i="4"/>
  <c r="J84" i="4"/>
  <c r="J85" i="4"/>
  <c r="J86" i="4"/>
  <c r="J87" i="4"/>
  <c r="J88" i="4"/>
  <c r="J89" i="4"/>
  <c r="J90" i="4"/>
  <c r="J91" i="4"/>
  <c r="F93" i="4"/>
  <c r="G93" i="4" s="1"/>
  <c r="J94" i="4"/>
  <c r="F94" i="4" s="1"/>
  <c r="G94" i="4" s="1"/>
  <c r="J95" i="4"/>
  <c r="F95" i="4" s="1"/>
  <c r="G95" i="4" s="1"/>
  <c r="J96" i="4"/>
  <c r="F96" i="4" s="1"/>
  <c r="G96" i="4" s="1"/>
  <c r="F97" i="4"/>
  <c r="G97" i="4" s="1"/>
  <c r="J98" i="4"/>
  <c r="F98" i="4" s="1"/>
  <c r="G98" i="4" s="1"/>
  <c r="F100" i="4"/>
  <c r="G100" i="4"/>
  <c r="F101" i="4"/>
  <c r="G101" i="4" s="1"/>
  <c r="J102" i="4"/>
  <c r="F102" i="4" s="1"/>
  <c r="G102" i="4" s="1"/>
  <c r="D103" i="4"/>
  <c r="E103" i="4"/>
  <c r="J104" i="4"/>
  <c r="J105" i="4"/>
  <c r="J106" i="4"/>
  <c r="J107" i="4"/>
  <c r="F107" i="4" s="1"/>
  <c r="G107" i="4" s="1"/>
  <c r="J108" i="4"/>
  <c r="F108" i="4" s="1"/>
  <c r="G108" i="4" s="1"/>
  <c r="F109" i="4"/>
  <c r="G109" i="4"/>
  <c r="F110" i="4"/>
  <c r="G110" i="4" s="1"/>
  <c r="F111" i="4"/>
  <c r="G111" i="4"/>
  <c r="J112" i="4"/>
  <c r="F112" i="4" s="1"/>
  <c r="G112" i="4" s="1"/>
  <c r="F114" i="4"/>
  <c r="G114" i="4" s="1"/>
  <c r="J115" i="4"/>
  <c r="F115" i="4" s="1"/>
  <c r="G115" i="4" s="1"/>
  <c r="D116" i="4"/>
  <c r="E116" i="4"/>
  <c r="J117" i="4"/>
  <c r="J118" i="4"/>
  <c r="J119" i="4"/>
  <c r="J120" i="4"/>
  <c r="F120" i="4" s="1"/>
  <c r="G120" i="4" s="1"/>
  <c r="J121" i="4"/>
  <c r="F121" i="4" s="1"/>
  <c r="G121" i="4" s="1"/>
  <c r="F122" i="4"/>
  <c r="G122" i="4"/>
  <c r="F123" i="4"/>
  <c r="G123" i="4" s="1"/>
  <c r="F124" i="4"/>
  <c r="G124" i="4"/>
  <c r="J125" i="4"/>
  <c r="F125" i="4" s="1"/>
  <c r="G125" i="4" s="1"/>
  <c r="F127" i="4"/>
  <c r="G127" i="4" s="1"/>
  <c r="J128" i="4"/>
  <c r="F128" i="4" s="1"/>
  <c r="G128" i="4" s="1"/>
  <c r="D129" i="4"/>
  <c r="E129" i="4"/>
  <c r="J130" i="4"/>
  <c r="J131" i="4"/>
  <c r="J132" i="4"/>
  <c r="J133" i="4"/>
  <c r="J134" i="4"/>
  <c r="J135" i="4"/>
  <c r="J136" i="4"/>
  <c r="F136" i="4" s="1"/>
  <c r="G136" i="4" s="1"/>
  <c r="J137" i="4"/>
  <c r="F137" i="4" s="1"/>
  <c r="G137" i="4" s="1"/>
  <c r="F138" i="4"/>
  <c r="G138" i="4" s="1"/>
  <c r="F139" i="4"/>
  <c r="G139" i="4" s="1"/>
  <c r="F140" i="4"/>
  <c r="G140" i="4" s="1"/>
  <c r="J141" i="4"/>
  <c r="F141" i="4" s="1"/>
  <c r="G141" i="4" s="1"/>
  <c r="J142" i="4"/>
  <c r="J143" i="4"/>
  <c r="F143" i="4" s="1"/>
  <c r="G143" i="4" s="1"/>
  <c r="J144" i="4"/>
  <c r="F144" i="4" s="1"/>
  <c r="G144" i="4" s="1"/>
  <c r="D145" i="4"/>
  <c r="E145" i="4"/>
  <c r="J146" i="4"/>
  <c r="J147" i="4"/>
  <c r="J148" i="4"/>
  <c r="J149" i="4"/>
  <c r="F149" i="4" s="1"/>
  <c r="G149" i="4" s="1"/>
  <c r="J150" i="4"/>
  <c r="F150" i="4" s="1"/>
  <c r="G150" i="4" s="1"/>
  <c r="F151" i="4"/>
  <c r="G151" i="4"/>
  <c r="F152" i="4"/>
  <c r="G152" i="4" s="1"/>
  <c r="F153" i="4"/>
  <c r="G153" i="4"/>
  <c r="J154" i="4"/>
  <c r="F154" i="4" s="1"/>
  <c r="G154" i="4" s="1"/>
  <c r="F156" i="4"/>
  <c r="G156" i="4" s="1"/>
  <c r="F157" i="4"/>
  <c r="G157" i="4" s="1"/>
  <c r="E158" i="4"/>
  <c r="J161" i="4"/>
  <c r="J162" i="4"/>
  <c r="J163" i="4"/>
  <c r="J164" i="4"/>
  <c r="J165" i="4"/>
  <c r="J166" i="4"/>
  <c r="J167" i="4"/>
  <c r="J168" i="4"/>
  <c r="J169" i="4"/>
  <c r="J172" i="4"/>
  <c r="J173" i="4"/>
  <c r="J174" i="4"/>
  <c r="J175" i="4"/>
  <c r="F175" i="4" s="1"/>
  <c r="G175" i="4" s="1"/>
  <c r="F176" i="4"/>
  <c r="G176" i="4" s="1"/>
  <c r="F177" i="4"/>
  <c r="G177" i="4" s="1"/>
  <c r="F178" i="4"/>
  <c r="G178" i="4" s="1"/>
  <c r="J179" i="4"/>
  <c r="J180" i="4"/>
  <c r="J181" i="4"/>
  <c r="F182" i="4"/>
  <c r="G182" i="4" s="1"/>
  <c r="F183" i="4"/>
  <c r="G183" i="4"/>
  <c r="F184" i="4"/>
  <c r="G184" i="4" s="1"/>
  <c r="J185" i="4"/>
  <c r="F185" i="4" s="1"/>
  <c r="G185" i="4" s="1"/>
  <c r="F186" i="4"/>
  <c r="G186" i="4" s="1"/>
  <c r="E187" i="4"/>
  <c r="J191" i="4"/>
  <c r="J192" i="4"/>
  <c r="J193" i="4"/>
  <c r="J194" i="4"/>
  <c r="J195" i="4"/>
  <c r="J196" i="4"/>
  <c r="J197" i="4"/>
  <c r="J198" i="4"/>
  <c r="J199" i="4"/>
  <c r="J200" i="4"/>
  <c r="J203" i="4"/>
  <c r="J204" i="4"/>
  <c r="J205" i="4"/>
  <c r="J206" i="4"/>
  <c r="F206" i="4" s="1"/>
  <c r="G206" i="4" s="1"/>
  <c r="F207" i="4"/>
  <c r="G207" i="4"/>
  <c r="F208" i="4"/>
  <c r="G208" i="4" s="1"/>
  <c r="F209" i="4"/>
  <c r="G209" i="4"/>
  <c r="J210" i="4"/>
  <c r="F210" i="4" s="1"/>
  <c r="G210" i="4" s="1"/>
  <c r="J211" i="4"/>
  <c r="F213" i="4"/>
  <c r="G213" i="4"/>
  <c r="F214" i="4"/>
  <c r="G214" i="4" s="1"/>
  <c r="F215" i="4"/>
  <c r="G215" i="4" s="1"/>
  <c r="F216" i="4"/>
  <c r="G216" i="4" s="1"/>
  <c r="F217" i="4"/>
  <c r="G217" i="4" s="1"/>
  <c r="E218" i="4"/>
  <c r="J219" i="4"/>
  <c r="J220" i="4"/>
  <c r="J221" i="4"/>
  <c r="J222" i="4"/>
  <c r="J224" i="4"/>
  <c r="F224" i="4" s="1"/>
  <c r="G224" i="4" s="1"/>
  <c r="J225" i="4"/>
  <c r="F225" i="4" s="1"/>
  <c r="G225" i="4" s="1"/>
  <c r="F226" i="4"/>
  <c r="G226" i="4" s="1"/>
  <c r="F227" i="4"/>
  <c r="G227" i="4" s="1"/>
  <c r="F228" i="4"/>
  <c r="G228" i="4" s="1"/>
  <c r="F229" i="4"/>
  <c r="G229" i="4" s="1"/>
  <c r="F230" i="4"/>
  <c r="G230" i="4" s="1"/>
  <c r="F231" i="4"/>
  <c r="G231" i="4" s="1"/>
  <c r="E232" i="4"/>
  <c r="J233" i="4"/>
  <c r="J234" i="4"/>
  <c r="J235" i="4"/>
  <c r="J236" i="4"/>
  <c r="J237" i="4"/>
  <c r="J238" i="4"/>
  <c r="J239" i="4"/>
  <c r="J240" i="4"/>
  <c r="J241" i="4"/>
  <c r="J244" i="4"/>
  <c r="F244" i="4" s="1"/>
  <c r="G244" i="4" s="1"/>
  <c r="J245" i="4"/>
  <c r="J246" i="4"/>
  <c r="J247" i="4"/>
  <c r="F247" i="4" s="1"/>
  <c r="G247" i="4" s="1"/>
  <c r="F248" i="4"/>
  <c r="G248" i="4" s="1"/>
  <c r="F249" i="4"/>
  <c r="G249" i="4" s="1"/>
  <c r="F250" i="4"/>
  <c r="G250" i="4" s="1"/>
  <c r="J251" i="4"/>
  <c r="J252" i="4"/>
  <c r="F254" i="4"/>
  <c r="G254" i="4" s="1"/>
  <c r="F255" i="4"/>
  <c r="G255" i="4" s="1"/>
  <c r="F256" i="4"/>
  <c r="G256" i="4" s="1"/>
  <c r="F257" i="4"/>
  <c r="G257" i="4" s="1"/>
  <c r="F258" i="4"/>
  <c r="G258" i="4" s="1"/>
  <c r="E259" i="4"/>
  <c r="J260" i="4"/>
  <c r="J261" i="4"/>
  <c r="J262" i="4"/>
  <c r="J263" i="4"/>
  <c r="J265" i="4"/>
  <c r="F265" i="4" s="1"/>
  <c r="G265" i="4" s="1"/>
  <c r="J266" i="4"/>
  <c r="F266" i="4" s="1"/>
  <c r="G266" i="4" s="1"/>
  <c r="F267" i="4"/>
  <c r="G267" i="4" s="1"/>
  <c r="F268" i="4"/>
  <c r="G268" i="4" s="1"/>
  <c r="F269" i="4"/>
  <c r="G269" i="4" s="1"/>
  <c r="F270" i="4"/>
  <c r="G270" i="4" s="1"/>
  <c r="F271" i="4"/>
  <c r="G271" i="4" s="1"/>
  <c r="F272" i="4"/>
  <c r="G272" i="4" s="1"/>
  <c r="E273" i="4"/>
  <c r="J274" i="4"/>
  <c r="J275" i="4"/>
  <c r="J276" i="4"/>
  <c r="J277" i="4"/>
  <c r="J279" i="4"/>
  <c r="J280" i="4"/>
  <c r="J281" i="4"/>
  <c r="J282" i="4"/>
  <c r="J283" i="4"/>
  <c r="J284" i="4"/>
  <c r="J285" i="4"/>
  <c r="F287" i="4"/>
  <c r="G287" i="4" s="1"/>
  <c r="J288" i="4"/>
  <c r="F288" i="4" s="1"/>
  <c r="G288" i="4" s="1"/>
  <c r="J289" i="4"/>
  <c r="J290" i="4"/>
  <c r="F290" i="4" s="1"/>
  <c r="G290" i="4" s="1"/>
  <c r="F292" i="4"/>
  <c r="G292" i="4" s="1"/>
  <c r="F293" i="4"/>
  <c r="G293" i="4" s="1"/>
  <c r="F294" i="4"/>
  <c r="G294" i="4" s="1"/>
  <c r="F295" i="4"/>
  <c r="G295" i="4" s="1"/>
  <c r="J296" i="4"/>
  <c r="F296" i="4" s="1"/>
  <c r="G296" i="4" s="1"/>
  <c r="J299" i="4"/>
  <c r="F297" i="4" s="1"/>
  <c r="G297" i="4" s="1"/>
  <c r="F301" i="4"/>
  <c r="G301" i="4" s="1"/>
  <c r="J303" i="4"/>
  <c r="J304" i="4"/>
  <c r="J305" i="4"/>
  <c r="J306" i="4"/>
  <c r="J307" i="4"/>
  <c r="J308" i="4"/>
  <c r="J309" i="4"/>
  <c r="J310" i="4"/>
  <c r="J312" i="4"/>
  <c r="J313" i="4"/>
  <c r="F316" i="4"/>
  <c r="G316" i="4" s="1"/>
  <c r="J317" i="4"/>
  <c r="F317" i="4" s="1"/>
  <c r="G317" i="4" s="1"/>
  <c r="J318" i="4"/>
  <c r="J319" i="4"/>
  <c r="J322" i="4"/>
  <c r="F322" i="4" s="1"/>
  <c r="G322" i="4" s="1"/>
  <c r="F323" i="4"/>
  <c r="G323" i="4" s="1"/>
  <c r="F324" i="4"/>
  <c r="G324" i="4" s="1"/>
  <c r="F325" i="4"/>
  <c r="G325" i="4" s="1"/>
  <c r="J326" i="4"/>
  <c r="F326" i="4" s="1"/>
  <c r="G326" i="4" s="1"/>
  <c r="F328" i="4"/>
  <c r="G328" i="4" s="1"/>
  <c r="F331" i="4"/>
  <c r="G331" i="4"/>
  <c r="F332" i="4"/>
  <c r="G332" i="4" s="1"/>
  <c r="E333" i="4"/>
  <c r="F334" i="4"/>
  <c r="F335" i="4"/>
  <c r="G335" i="4" s="1"/>
  <c r="F336" i="4"/>
  <c r="G336" i="4" s="1"/>
  <c r="F337" i="4"/>
  <c r="G337" i="4" s="1"/>
  <c r="F338" i="4"/>
  <c r="G338" i="4" s="1"/>
  <c r="F339" i="4"/>
  <c r="G339" i="4" s="1"/>
  <c r="F340" i="4"/>
  <c r="G340" i="4" s="1"/>
  <c r="F341" i="4"/>
  <c r="G341" i="4" s="1"/>
  <c r="F342" i="4"/>
  <c r="G342" i="4" s="1"/>
  <c r="F343" i="4"/>
  <c r="G343" i="4" s="1"/>
  <c r="F344" i="4"/>
  <c r="G344" i="4" s="1"/>
  <c r="D345" i="4"/>
  <c r="E345" i="4"/>
  <c r="F346" i="4"/>
  <c r="G346" i="4"/>
  <c r="J347" i="4"/>
  <c r="F347" i="4" s="1"/>
  <c r="G347" i="4" s="1"/>
  <c r="J350" i="4"/>
  <c r="F350" i="4" s="1"/>
  <c r="G350" i="4" s="1"/>
  <c r="J351" i="4"/>
  <c r="J352" i="4"/>
  <c r="J353" i="4"/>
  <c r="J354" i="4"/>
  <c r="J355" i="4"/>
  <c r="F355" i="4" s="1"/>
  <c r="G355" i="4" s="1"/>
  <c r="J357" i="4"/>
  <c r="F357" i="4" s="1"/>
  <c r="G357" i="4" s="1"/>
  <c r="J359" i="4"/>
  <c r="E362" i="4"/>
  <c r="E361" i="4" s="1"/>
  <c r="J363" i="4"/>
  <c r="F363" i="4" s="1"/>
  <c r="J364" i="4"/>
  <c r="F364" i="4" s="1"/>
  <c r="G364" i="4" s="1"/>
  <c r="E365" i="4"/>
  <c r="J366" i="4"/>
  <c r="F366" i="4" s="1"/>
  <c r="J368" i="4"/>
  <c r="J369" i="4"/>
  <c r="E371" i="4"/>
  <c r="F372" i="4"/>
  <c r="F371" i="4" s="1"/>
  <c r="F373" i="4"/>
  <c r="G373" i="4" s="1"/>
  <c r="E375" i="4"/>
  <c r="J376" i="4"/>
  <c r="J377" i="4"/>
  <c r="J378" i="4"/>
  <c r="J379" i="4"/>
  <c r="F380" i="4"/>
  <c r="G380" i="4"/>
  <c r="F382" i="4"/>
  <c r="G382" i="4" s="1"/>
  <c r="J383" i="4"/>
  <c r="J384" i="4"/>
  <c r="J385" i="4"/>
  <c r="J386" i="4"/>
  <c r="J387" i="4"/>
  <c r="F390" i="4"/>
  <c r="G390" i="4" s="1"/>
  <c r="F391" i="4"/>
  <c r="G391" i="4" s="1"/>
  <c r="G393" i="4"/>
  <c r="D394" i="4"/>
  <c r="E394" i="4"/>
  <c r="J395" i="4"/>
  <c r="F395" i="4" s="1"/>
  <c r="J396" i="4"/>
  <c r="J397" i="4"/>
  <c r="J398" i="4"/>
  <c r="F398" i="4" s="1"/>
  <c r="G398" i="4" s="1"/>
  <c r="F399" i="4"/>
  <c r="G399" i="4" s="1"/>
  <c r="F400" i="4"/>
  <c r="G400" i="4"/>
  <c r="J401" i="4"/>
  <c r="F401" i="4" s="1"/>
  <c r="G401" i="4" s="1"/>
  <c r="J402" i="4"/>
  <c r="F402" i="4" s="1"/>
  <c r="G402" i="4" s="1"/>
  <c r="F403" i="4"/>
  <c r="G403" i="4"/>
  <c r="E404" i="4"/>
  <c r="J405" i="4"/>
  <c r="J406" i="4"/>
  <c r="J407" i="4"/>
  <c r="D408" i="4"/>
  <c r="J408" i="4"/>
  <c r="F408" i="4" s="1"/>
  <c r="F409" i="4"/>
  <c r="G409" i="4"/>
  <c r="F410" i="4"/>
  <c r="G410" i="4" s="1"/>
  <c r="J411" i="4"/>
  <c r="F411" i="4" s="1"/>
  <c r="G411" i="4" s="1"/>
  <c r="J412" i="4"/>
  <c r="F412" i="4" s="1"/>
  <c r="G412" i="4" s="1"/>
  <c r="F413" i="4"/>
  <c r="G413" i="4" s="1"/>
  <c r="E414" i="4"/>
  <c r="J415" i="4"/>
  <c r="F415" i="4" s="1"/>
  <c r="J416" i="4"/>
  <c r="J417" i="4"/>
  <c r="J418" i="4"/>
  <c r="F418" i="4" s="1"/>
  <c r="G418" i="4" s="1"/>
  <c r="F419" i="4"/>
  <c r="G419" i="4" s="1"/>
  <c r="F420" i="4"/>
  <c r="G420" i="4" s="1"/>
  <c r="J421" i="4"/>
  <c r="F421" i="4" s="1"/>
  <c r="G421" i="4" s="1"/>
  <c r="J422" i="4"/>
  <c r="J423" i="4"/>
  <c r="F423" i="4" s="1"/>
  <c r="G423" i="4" s="1"/>
  <c r="F424" i="4"/>
  <c r="G424" i="4" s="1"/>
  <c r="E425" i="4"/>
  <c r="J426" i="4"/>
  <c r="F426" i="4" s="1"/>
  <c r="J427" i="4"/>
  <c r="J428" i="4"/>
  <c r="D429" i="4"/>
  <c r="J429" i="4"/>
  <c r="F429" i="4" s="1"/>
  <c r="G429" i="4" s="1"/>
  <c r="F430" i="4"/>
  <c r="G430" i="4" s="1"/>
  <c r="F431" i="4"/>
  <c r="G431" i="4" s="1"/>
  <c r="J432" i="4"/>
  <c r="F432" i="4" s="1"/>
  <c r="G432" i="4" s="1"/>
  <c r="J433" i="4"/>
  <c r="F433" i="4" s="1"/>
  <c r="G433" i="4" s="1"/>
  <c r="F434" i="4"/>
  <c r="G434" i="4" s="1"/>
  <c r="F435" i="4"/>
  <c r="G435" i="4" s="1"/>
  <c r="E436" i="4"/>
  <c r="J439" i="4"/>
  <c r="F437" i="4" s="1"/>
  <c r="D440" i="4"/>
  <c r="F441" i="4"/>
  <c r="F440" i="4" s="1"/>
  <c r="J447" i="4"/>
  <c r="J448" i="4"/>
  <c r="J449" i="4"/>
  <c r="J450" i="4"/>
  <c r="J451" i="4"/>
  <c r="J452" i="4"/>
  <c r="J453" i="4"/>
  <c r="J454" i="4"/>
  <c r="J455" i="4"/>
  <c r="J456" i="4"/>
  <c r="J457" i="4"/>
  <c r="J458" i="4"/>
  <c r="J459" i="4"/>
  <c r="J460" i="4"/>
  <c r="J461" i="4"/>
  <c r="J462" i="4"/>
  <c r="E463" i="4"/>
  <c r="E446" i="4" s="1"/>
  <c r="F463" i="4"/>
  <c r="G463" i="4" s="1"/>
  <c r="F465" i="4"/>
  <c r="G465" i="4" s="1"/>
  <c r="F466" i="4"/>
  <c r="G466" i="4" s="1"/>
  <c r="E467" i="4"/>
  <c r="J468" i="4"/>
  <c r="F468" i="4" s="1"/>
  <c r="J469" i="4"/>
  <c r="F469" i="4" s="1"/>
  <c r="G469" i="4" s="1"/>
  <c r="J470" i="4"/>
  <c r="J471" i="4"/>
  <c r="J472" i="4"/>
  <c r="J473" i="4"/>
  <c r="F473" i="4" s="1"/>
  <c r="G473" i="4" s="1"/>
  <c r="F475" i="4"/>
  <c r="G475" i="4" s="1"/>
  <c r="E476" i="4"/>
  <c r="J477" i="4"/>
  <c r="J478" i="4"/>
  <c r="J479" i="4"/>
  <c r="J480" i="4"/>
  <c r="J481" i="4"/>
  <c r="J482" i="4"/>
  <c r="J483" i="4"/>
  <c r="J484" i="4"/>
  <c r="J485" i="4"/>
  <c r="J486" i="4"/>
  <c r="J487" i="4"/>
  <c r="J488" i="4"/>
  <c r="J489" i="4"/>
  <c r="J490" i="4"/>
  <c r="J491" i="4"/>
  <c r="F491" i="4" s="1"/>
  <c r="G491" i="4" s="1"/>
  <c r="J492" i="4"/>
  <c r="F493" i="4"/>
  <c r="G493" i="4"/>
  <c r="E494" i="4"/>
  <c r="J495" i="4"/>
  <c r="F495" i="4" s="1"/>
  <c r="J496" i="4"/>
  <c r="J497" i="4"/>
  <c r="J498" i="4"/>
  <c r="J499" i="4"/>
  <c r="J500" i="4"/>
  <c r="J501" i="4"/>
  <c r="J502" i="4"/>
  <c r="J503" i="4"/>
  <c r="J504" i="4"/>
  <c r="J505" i="4"/>
  <c r="J506" i="4"/>
  <c r="J507" i="4"/>
  <c r="F507" i="4" s="1"/>
  <c r="G507" i="4" s="1"/>
  <c r="J508" i="4"/>
  <c r="J509" i="4"/>
  <c r="F509" i="4" s="1"/>
  <c r="G509" i="4" s="1"/>
  <c r="E510" i="4"/>
  <c r="F510" i="4"/>
  <c r="G510" i="4" s="1"/>
  <c r="G511" i="4"/>
  <c r="G512" i="4"/>
  <c r="G513" i="4"/>
  <c r="D514" i="4"/>
  <c r="E514" i="4"/>
  <c r="F514" i="4"/>
  <c r="G514" i="4" s="1"/>
  <c r="G515" i="4"/>
  <c r="G516" i="4"/>
  <c r="G517" i="4"/>
  <c r="G518" i="4"/>
  <c r="D519" i="4"/>
  <c r="J520" i="4"/>
  <c r="F520" i="4" s="1"/>
  <c r="J521" i="4"/>
  <c r="F521" i="4" s="1"/>
  <c r="G521" i="4" s="1"/>
  <c r="J522" i="4"/>
  <c r="J523" i="4"/>
  <c r="J524" i="4"/>
  <c r="F525" i="4"/>
  <c r="G525" i="4" s="1"/>
  <c r="F526" i="4"/>
  <c r="G526" i="4" s="1"/>
  <c r="E527" i="4"/>
  <c r="J528" i="4"/>
  <c r="F528" i="4" s="1"/>
  <c r="J529" i="4"/>
  <c r="J530" i="4"/>
  <c r="J531" i="4"/>
  <c r="J532" i="4"/>
  <c r="J533" i="4"/>
  <c r="G534" i="4"/>
  <c r="F535" i="4"/>
  <c r="G535" i="4" s="1"/>
  <c r="E536" i="4"/>
  <c r="J537" i="4"/>
  <c r="F537" i="4" s="1"/>
  <c r="J538" i="4"/>
  <c r="F538" i="4" s="1"/>
  <c r="G538" i="4" s="1"/>
  <c r="J539" i="4"/>
  <c r="J540" i="4"/>
  <c r="J541" i="4"/>
  <c r="F542" i="4"/>
  <c r="G542" i="4" s="1"/>
  <c r="F544" i="4"/>
  <c r="G544" i="4" s="1"/>
  <c r="E545" i="4"/>
  <c r="J546" i="4"/>
  <c r="F546" i="4" s="1"/>
  <c r="J547" i="4"/>
  <c r="J548" i="4"/>
  <c r="J549" i="4"/>
  <c r="J550" i="4"/>
  <c r="J551" i="4"/>
  <c r="J552" i="4"/>
  <c r="J553" i="4"/>
  <c r="F554" i="4"/>
  <c r="G554" i="4" s="1"/>
  <c r="F556" i="4"/>
  <c r="G556" i="4" s="1"/>
  <c r="E557" i="4"/>
  <c r="J558" i="4"/>
  <c r="F558" i="4" s="1"/>
  <c r="J559" i="4"/>
  <c r="F559" i="4" s="1"/>
  <c r="G559" i="4" s="1"/>
  <c r="J560" i="4"/>
  <c r="J561" i="4"/>
  <c r="F561" i="4" s="1"/>
  <c r="G561" i="4" s="1"/>
  <c r="F563" i="4"/>
  <c r="G563" i="4" s="1"/>
  <c r="E564" i="4"/>
  <c r="J565" i="4"/>
  <c r="F565" i="4" s="1"/>
  <c r="J566" i="4"/>
  <c r="J567" i="4"/>
  <c r="J568" i="4"/>
  <c r="J569" i="4"/>
  <c r="J570" i="4"/>
  <c r="F571" i="4"/>
  <c r="G571" i="4" s="1"/>
  <c r="J573" i="4"/>
  <c r="F573" i="4" s="1"/>
  <c r="G573" i="4" s="1"/>
  <c r="D574" i="4"/>
  <c r="E574" i="4"/>
  <c r="J575" i="4"/>
  <c r="F575" i="4" s="1"/>
  <c r="J576" i="4"/>
  <c r="J577" i="4"/>
  <c r="J578" i="4"/>
  <c r="J579" i="4"/>
  <c r="J580" i="4"/>
  <c r="F581" i="4"/>
  <c r="G581" i="4"/>
  <c r="F583" i="4"/>
  <c r="G583" i="4" s="1"/>
  <c r="D584" i="4"/>
  <c r="E584" i="4"/>
  <c r="J585" i="4"/>
  <c r="F585" i="4" s="1"/>
  <c r="J586" i="4"/>
  <c r="F586" i="4" s="1"/>
  <c r="G586" i="4" s="1"/>
  <c r="J587" i="4"/>
  <c r="F588" i="4"/>
  <c r="G588" i="4" s="1"/>
  <c r="F589" i="4"/>
  <c r="G589" i="4" s="1"/>
  <c r="D590" i="4"/>
  <c r="E590" i="4"/>
  <c r="F591" i="4"/>
  <c r="G591" i="4" s="1"/>
  <c r="F593" i="4"/>
  <c r="G593" i="4" s="1"/>
  <c r="F596" i="4"/>
  <c r="G596" i="4" s="1"/>
  <c r="F597" i="4"/>
  <c r="G597" i="4" s="1"/>
  <c r="F598" i="4"/>
  <c r="G598" i="4" s="1"/>
  <c r="F600" i="4"/>
  <c r="G600" i="4" s="1"/>
  <c r="E601" i="4"/>
  <c r="J602" i="4"/>
  <c r="F602" i="4" s="1"/>
  <c r="J603" i="4"/>
  <c r="F603" i="4" s="1"/>
  <c r="G603" i="4" s="1"/>
  <c r="J604" i="4"/>
  <c r="F605" i="4"/>
  <c r="G605" i="4" s="1"/>
  <c r="F606" i="4"/>
  <c r="G606" i="4" s="1"/>
  <c r="E607" i="4"/>
  <c r="F608" i="4"/>
  <c r="F607" i="4" s="1"/>
  <c r="G607" i="4" s="1"/>
  <c r="F609" i="4"/>
  <c r="G609" i="4"/>
  <c r="E610" i="4"/>
  <c r="F611" i="4"/>
  <c r="G611" i="4" s="1"/>
  <c r="G610" i="4" s="1"/>
  <c r="F612" i="4"/>
  <c r="G612" i="4" s="1"/>
  <c r="F613" i="4"/>
  <c r="G613" i="4" s="1"/>
  <c r="F614" i="4"/>
  <c r="G614" i="4" s="1"/>
  <c r="E615" i="4"/>
  <c r="F615" i="4"/>
  <c r="G615" i="4"/>
  <c r="G616" i="4"/>
  <c r="G617" i="4"/>
  <c r="G618" i="4"/>
  <c r="G619" i="4"/>
  <c r="G620" i="4"/>
  <c r="G621" i="4"/>
  <c r="G622" i="4"/>
  <c r="G623" i="4"/>
  <c r="G624" i="4"/>
  <c r="G625" i="4"/>
  <c r="E626" i="4"/>
  <c r="F626" i="4"/>
  <c r="G626" i="4" s="1"/>
  <c r="G627" i="4"/>
  <c r="G628" i="4"/>
  <c r="G629" i="4"/>
  <c r="E630" i="4"/>
  <c r="G630" i="4"/>
  <c r="G631" i="4"/>
  <c r="E632" i="4"/>
  <c r="G632" i="4"/>
  <c r="G633" i="4"/>
  <c r="G634" i="4"/>
  <c r="E635" i="4"/>
  <c r="G635" i="4"/>
  <c r="G636" i="4"/>
  <c r="G637" i="4"/>
  <c r="G638" i="4"/>
  <c r="G639" i="4"/>
  <c r="G640" i="4"/>
  <c r="G641" i="4"/>
  <c r="D642" i="4"/>
  <c r="E642" i="4"/>
  <c r="F643" i="4"/>
  <c r="G643" i="4" s="1"/>
  <c r="J644" i="4"/>
  <c r="F644" i="4" s="1"/>
  <c r="G644" i="4" s="1"/>
  <c r="D645" i="4"/>
  <c r="E645" i="4"/>
  <c r="F646" i="4"/>
  <c r="G646" i="4" s="1"/>
  <c r="G645" i="4" s="1"/>
  <c r="J647" i="4"/>
  <c r="F647" i="4" s="1"/>
  <c r="G647" i="4" s="1"/>
  <c r="E649" i="4"/>
  <c r="E648" i="4" s="1"/>
  <c r="J650" i="4"/>
  <c r="F650" i="4" s="1"/>
  <c r="J651" i="4"/>
  <c r="J653" i="4"/>
  <c r="J654" i="4"/>
  <c r="J656" i="4"/>
  <c r="J657" i="4"/>
  <c r="J658" i="4"/>
  <c r="J659" i="4"/>
  <c r="J660" i="4"/>
  <c r="J661" i="4"/>
  <c r="J662" i="4"/>
  <c r="J663" i="4"/>
  <c r="J664" i="4"/>
  <c r="J665" i="4"/>
  <c r="J666" i="4"/>
  <c r="J667" i="4"/>
  <c r="J669" i="4"/>
  <c r="J670" i="4"/>
  <c r="J672" i="4"/>
  <c r="J678" i="4"/>
  <c r="F675" i="4" s="1"/>
  <c r="G675" i="4" s="1"/>
  <c r="F679" i="4"/>
  <c r="G679" i="4" s="1"/>
  <c r="J683" i="4"/>
  <c r="J684" i="4"/>
  <c r="J685" i="4"/>
  <c r="J686" i="4"/>
  <c r="J687" i="4"/>
  <c r="F691" i="4"/>
  <c r="G691" i="4" s="1"/>
  <c r="F693" i="4"/>
  <c r="G693" i="4" s="1"/>
  <c r="F694" i="4"/>
  <c r="G694" i="4" s="1"/>
  <c r="F695" i="4"/>
  <c r="G695" i="4" s="1"/>
  <c r="F696" i="4"/>
  <c r="G696" i="4" s="1"/>
  <c r="D697" i="4"/>
  <c r="J698" i="4"/>
  <c r="F698" i="4" s="1"/>
  <c r="F699" i="4"/>
  <c r="G699" i="4" s="1"/>
  <c r="F700" i="4"/>
  <c r="G700" i="4" s="1"/>
  <c r="F702" i="4"/>
  <c r="G702" i="4" s="1"/>
  <c r="F703" i="4"/>
  <c r="G703" i="4" s="1"/>
  <c r="F705" i="4"/>
  <c r="F704" i="4" s="1"/>
  <c r="F706" i="4"/>
  <c r="G706" i="4" s="1"/>
  <c r="F707" i="4"/>
  <c r="G707" i="4" s="1"/>
  <c r="F709" i="4"/>
  <c r="G709" i="4" s="1"/>
  <c r="J711" i="4"/>
  <c r="F711" i="4" s="1"/>
  <c r="G711" i="4" s="1"/>
  <c r="F656" i="4" l="1"/>
  <c r="G656" i="4" s="1"/>
  <c r="F479" i="4"/>
  <c r="G479" i="4" s="1"/>
  <c r="F449" i="4"/>
  <c r="G449" i="4" s="1"/>
  <c r="F238" i="4"/>
  <c r="G238" i="4" s="1"/>
  <c r="F89" i="30"/>
  <c r="F566" i="4"/>
  <c r="G566" i="4" s="1"/>
  <c r="F333" i="4"/>
  <c r="F260" i="4"/>
  <c r="F251" i="4"/>
  <c r="G251" i="4" s="1"/>
  <c r="F233" i="4"/>
  <c r="F203" i="4"/>
  <c r="G203" i="4" s="1"/>
  <c r="F197" i="4"/>
  <c r="G197" i="4" s="1"/>
  <c r="F18" i="4"/>
  <c r="G18" i="4" s="1"/>
  <c r="F683" i="4"/>
  <c r="G683" i="4" s="1"/>
  <c r="F653" i="4"/>
  <c r="G653" i="4" s="1"/>
  <c r="F496" i="4"/>
  <c r="G496" i="4" s="1"/>
  <c r="F477" i="4"/>
  <c r="E445" i="4"/>
  <c r="E444" i="4" s="1"/>
  <c r="E440" i="4" s="1"/>
  <c r="F447" i="4"/>
  <c r="F383" i="4"/>
  <c r="G383" i="4" s="1"/>
  <c r="F376" i="4"/>
  <c r="F279" i="4"/>
  <c r="G279" i="4" s="1"/>
  <c r="F274" i="4"/>
  <c r="F219" i="4"/>
  <c r="F172" i="4"/>
  <c r="G172" i="4" s="1"/>
  <c r="F166" i="4"/>
  <c r="G166" i="4" s="1"/>
  <c r="F146" i="4"/>
  <c r="F83" i="4"/>
  <c r="F63" i="4"/>
  <c r="G63" i="4" s="1"/>
  <c r="F59" i="4"/>
  <c r="G59" i="4" s="1"/>
  <c r="F55" i="4"/>
  <c r="G55" i="4" s="1"/>
  <c r="F51" i="4"/>
  <c r="F48" i="4"/>
  <c r="G48" i="4" s="1"/>
  <c r="F31" i="4"/>
  <c r="G31" i="4" s="1"/>
  <c r="F7" i="4"/>
  <c r="F665" i="4"/>
  <c r="G665" i="4" s="1"/>
  <c r="F610" i="4"/>
  <c r="G608" i="4"/>
  <c r="F576" i="4"/>
  <c r="G576" i="4" s="1"/>
  <c r="F547" i="4"/>
  <c r="G547" i="4" s="1"/>
  <c r="F529" i="4"/>
  <c r="G529" i="4" s="1"/>
  <c r="G408" i="4"/>
  <c r="F405" i="4"/>
  <c r="F352" i="4"/>
  <c r="G352" i="4" s="1"/>
  <c r="F307" i="4"/>
  <c r="G307" i="4" s="1"/>
  <c r="F303" i="4"/>
  <c r="F188" i="4"/>
  <c r="F187" i="4" s="1"/>
  <c r="G187" i="4" s="1"/>
  <c r="F179" i="4"/>
  <c r="G179" i="4" s="1"/>
  <c r="F159" i="4"/>
  <c r="F130" i="4"/>
  <c r="G130" i="4" s="1"/>
  <c r="G129" i="4" s="1"/>
  <c r="F117" i="4"/>
  <c r="F104" i="4"/>
  <c r="E81" i="4"/>
  <c r="E5" i="4"/>
  <c r="F697" i="4"/>
  <c r="G698" i="4"/>
  <c r="G697" i="4" s="1"/>
  <c r="F649" i="4"/>
  <c r="G650" i="4"/>
  <c r="F557" i="4"/>
  <c r="G557" i="4" s="1"/>
  <c r="G558" i="4"/>
  <c r="G495" i="4"/>
  <c r="G494" i="4" s="1"/>
  <c r="F494" i="4"/>
  <c r="G437" i="4"/>
  <c r="F436" i="4"/>
  <c r="G436" i="4" s="1"/>
  <c r="G426" i="4"/>
  <c r="G425" i="4" s="1"/>
  <c r="F425" i="4"/>
  <c r="G415" i="4"/>
  <c r="G414" i="4" s="1"/>
  <c r="F414" i="4"/>
  <c r="G405" i="4"/>
  <c r="F404" i="4"/>
  <c r="G404" i="4" s="1"/>
  <c r="F365" i="4"/>
  <c r="G366" i="4"/>
  <c r="G365" i="4" s="1"/>
  <c r="F302" i="4"/>
  <c r="G303" i="4"/>
  <c r="G302" i="4" s="1"/>
  <c r="G260" i="4"/>
  <c r="F259" i="4"/>
  <c r="G259" i="4" s="1"/>
  <c r="G233" i="4"/>
  <c r="F232" i="4"/>
  <c r="G232" i="4" s="1"/>
  <c r="G188" i="4"/>
  <c r="G159" i="4"/>
  <c r="F158" i="4"/>
  <c r="G158" i="4" s="1"/>
  <c r="F129" i="4"/>
  <c r="G117" i="4"/>
  <c r="G116" i="4" s="1"/>
  <c r="F116" i="4"/>
  <c r="F103" i="4"/>
  <c r="G104" i="4"/>
  <c r="G103" i="4" s="1"/>
  <c r="G590" i="4"/>
  <c r="E374" i="4"/>
  <c r="E712" i="4" s="1"/>
  <c r="G345" i="4"/>
  <c r="F601" i="4"/>
  <c r="G601" i="4" s="1"/>
  <c r="G602" i="4"/>
  <c r="F584" i="4"/>
  <c r="G585" i="4"/>
  <c r="G584" i="4" s="1"/>
  <c r="G575" i="4"/>
  <c r="G574" i="4" s="1"/>
  <c r="G565" i="4"/>
  <c r="F564" i="4"/>
  <c r="G564" i="4" s="1"/>
  <c r="G546" i="4"/>
  <c r="F545" i="4"/>
  <c r="G545" i="4" s="1"/>
  <c r="G537" i="4"/>
  <c r="F536" i="4"/>
  <c r="G536" i="4" s="1"/>
  <c r="G528" i="4"/>
  <c r="F527" i="4"/>
  <c r="G527" i="4" s="1"/>
  <c r="G520" i="4"/>
  <c r="G519" i="4" s="1"/>
  <c r="F519" i="4"/>
  <c r="F476" i="4"/>
  <c r="G477" i="4"/>
  <c r="G476" i="4" s="1"/>
  <c r="G468" i="4"/>
  <c r="F467" i="4"/>
  <c r="G467" i="4" s="1"/>
  <c r="G447" i="4"/>
  <c r="F446" i="4"/>
  <c r="F394" i="4"/>
  <c r="G395" i="4"/>
  <c r="G394" i="4" s="1"/>
  <c r="F375" i="4"/>
  <c r="G376" i="4"/>
  <c r="G375" i="4" s="1"/>
  <c r="G374" i="4" s="1"/>
  <c r="G363" i="4"/>
  <c r="F362" i="4"/>
  <c r="F273" i="4"/>
  <c r="G274" i="4"/>
  <c r="G273" i="4" s="1"/>
  <c r="F218" i="4"/>
  <c r="G218" i="4" s="1"/>
  <c r="G219" i="4"/>
  <c r="F145" i="4"/>
  <c r="G146" i="4"/>
  <c r="G145" i="4" s="1"/>
  <c r="F82" i="4"/>
  <c r="G83" i="4"/>
  <c r="G51" i="4"/>
  <c r="G50" i="4" s="1"/>
  <c r="F50" i="4"/>
  <c r="J76" i="4" s="1"/>
  <c r="F76" i="4" s="1"/>
  <c r="G76" i="4" s="1"/>
  <c r="G7" i="4"/>
  <c r="G6" i="4" s="1"/>
  <c r="F6" i="4"/>
  <c r="F708" i="4"/>
  <c r="G708" i="4" s="1"/>
  <c r="G705" i="4"/>
  <c r="F645" i="4"/>
  <c r="G642" i="4"/>
  <c r="F345" i="4"/>
  <c r="F642" i="4"/>
  <c r="F590" i="4"/>
  <c r="G441" i="4"/>
  <c r="G440" i="4" s="1"/>
  <c r="G372" i="4"/>
  <c r="G371" i="4" s="1"/>
  <c r="G334" i="4"/>
  <c r="G333" i="4" s="1"/>
  <c r="G73" i="4"/>
  <c r="G704" i="4"/>
  <c r="F374" i="4" l="1"/>
  <c r="F574" i="4"/>
  <c r="F81" i="4"/>
  <c r="G82" i="4"/>
  <c r="G81" i="4" s="1"/>
  <c r="F648" i="4"/>
  <c r="G649" i="4"/>
  <c r="G648" i="4" s="1"/>
  <c r="G72" i="4"/>
  <c r="F361" i="4"/>
  <c r="G362" i="4"/>
  <c r="G361" i="4" s="1"/>
  <c r="F445" i="4"/>
  <c r="G446" i="4"/>
  <c r="G445" i="4" s="1"/>
  <c r="F72" i="4"/>
  <c r="F5" i="4" s="1"/>
  <c r="G5" i="4" s="1"/>
  <c r="G712" i="4" l="1"/>
  <c r="F712" i="4"/>
</calcChain>
</file>

<file path=xl/sharedStrings.xml><?xml version="1.0" encoding="utf-8"?>
<sst xmlns="http://schemas.openxmlformats.org/spreadsheetml/2006/main" count="2858" uniqueCount="1764">
  <si>
    <t>지  출  의  부</t>
    <phoneticPr fontId="2" type="noConversion"/>
  </si>
  <si>
    <t>과목</t>
    <phoneticPr fontId="2" type="noConversion"/>
  </si>
  <si>
    <t>증감</t>
    <phoneticPr fontId="2" type="noConversion"/>
  </si>
  <si>
    <t>내역</t>
    <phoneticPr fontId="2" type="noConversion"/>
  </si>
  <si>
    <t>관</t>
    <phoneticPr fontId="2" type="noConversion"/>
  </si>
  <si>
    <t>항</t>
    <phoneticPr fontId="2" type="noConversion"/>
  </si>
  <si>
    <t>목</t>
    <phoneticPr fontId="2" type="noConversion"/>
  </si>
  <si>
    <t>운영비</t>
    <phoneticPr fontId="2" type="noConversion"/>
  </si>
  <si>
    <t>경상비</t>
    <phoneticPr fontId="2" type="noConversion"/>
  </si>
  <si>
    <t>소모품비</t>
    <phoneticPr fontId="2" type="noConversion"/>
  </si>
  <si>
    <t>ㅇ사무용품비</t>
    <phoneticPr fontId="2" type="noConversion"/>
  </si>
  <si>
    <t>ㅇ음료재료비</t>
    <phoneticPr fontId="2" type="noConversion"/>
  </si>
  <si>
    <t>ㅇ복사용지구입</t>
    <phoneticPr fontId="2" type="noConversion"/>
  </si>
  <si>
    <t>통신비</t>
    <phoneticPr fontId="2" type="noConversion"/>
  </si>
  <si>
    <t>ㅇ전화요금</t>
    <phoneticPr fontId="2" type="noConversion"/>
  </si>
  <si>
    <t>ㅇ우편요금</t>
    <phoneticPr fontId="2" type="noConversion"/>
  </si>
  <si>
    <t>인쇄비</t>
    <phoneticPr fontId="2" type="noConversion"/>
  </si>
  <si>
    <t>ㅇ총회준비 인쇄비</t>
    <phoneticPr fontId="2" type="noConversion"/>
  </si>
  <si>
    <t>ㅇ명함,고무인,기타</t>
    <phoneticPr fontId="2" type="noConversion"/>
  </si>
  <si>
    <t>수수료 및</t>
    <phoneticPr fontId="2" type="noConversion"/>
  </si>
  <si>
    <t>ㅇ은행수수료</t>
    <phoneticPr fontId="2" type="noConversion"/>
  </si>
  <si>
    <t>수선비</t>
    <phoneticPr fontId="2" type="noConversion"/>
  </si>
  <si>
    <t>ㅇIF.AU 연도회비</t>
    <phoneticPr fontId="2" type="noConversion"/>
  </si>
  <si>
    <t>ㅇ사무국 연합회비</t>
    <phoneticPr fontId="2" type="noConversion"/>
  </si>
  <si>
    <t>ㅇ주민세 정기분</t>
    <phoneticPr fontId="2" type="noConversion"/>
  </si>
  <si>
    <t>ㅇ기금관리자 보증보험료</t>
    <phoneticPr fontId="2" type="noConversion"/>
  </si>
  <si>
    <t>ㅇ청소비</t>
    <phoneticPr fontId="2" type="noConversion"/>
  </si>
  <si>
    <t>ㅇ기타수수료.수선비</t>
    <phoneticPr fontId="2" type="noConversion"/>
  </si>
  <si>
    <t>도서비</t>
    <phoneticPr fontId="2" type="noConversion"/>
  </si>
  <si>
    <t>ㅇ신문구독료</t>
    <phoneticPr fontId="2" type="noConversion"/>
  </si>
  <si>
    <t>ㅇ일반도서구입비</t>
    <phoneticPr fontId="2" type="noConversion"/>
  </si>
  <si>
    <t>출장비</t>
    <phoneticPr fontId="2" type="noConversion"/>
  </si>
  <si>
    <t>경조비</t>
    <phoneticPr fontId="2" type="noConversion"/>
  </si>
  <si>
    <t>ㅇ경조금</t>
    <phoneticPr fontId="2" type="noConversion"/>
  </si>
  <si>
    <t>ㅇ경조화환</t>
    <phoneticPr fontId="2" type="noConversion"/>
  </si>
  <si>
    <t>시설비</t>
    <phoneticPr fontId="2" type="noConversion"/>
  </si>
  <si>
    <t>업무추진비</t>
    <phoneticPr fontId="2" type="noConversion"/>
  </si>
  <si>
    <t>홍보비</t>
    <phoneticPr fontId="2" type="noConversion"/>
  </si>
  <si>
    <t>ㅇ홍보비</t>
    <phoneticPr fontId="2" type="noConversion"/>
  </si>
  <si>
    <t>표창비</t>
    <phoneticPr fontId="2" type="noConversion"/>
  </si>
  <si>
    <t>ㅇ우수지도자 격려금</t>
    <phoneticPr fontId="2" type="noConversion"/>
  </si>
  <si>
    <t>ㅇ표창패 제작비</t>
    <phoneticPr fontId="2" type="noConversion"/>
  </si>
  <si>
    <t>환영비</t>
    <phoneticPr fontId="2" type="noConversion"/>
  </si>
  <si>
    <t xml:space="preserve">ㅇ선수단 환송.영비 </t>
    <phoneticPr fontId="2" type="noConversion"/>
  </si>
  <si>
    <t>행사비</t>
    <phoneticPr fontId="2" type="noConversion"/>
  </si>
  <si>
    <t>섭외비</t>
    <phoneticPr fontId="2" type="noConversion"/>
  </si>
  <si>
    <t>회의비</t>
    <phoneticPr fontId="2" type="noConversion"/>
  </si>
  <si>
    <t>ㅇ이사회의비</t>
    <phoneticPr fontId="2" type="noConversion"/>
  </si>
  <si>
    <t>ㅇ상무이사회의비</t>
    <phoneticPr fontId="2" type="noConversion"/>
  </si>
  <si>
    <t>ㅇ위원회 활동비</t>
    <phoneticPr fontId="2" type="noConversion"/>
  </si>
  <si>
    <t>ㅇ정기대의원총회</t>
    <phoneticPr fontId="2" type="noConversion"/>
  </si>
  <si>
    <t>국내대회비</t>
    <phoneticPr fontId="2" type="noConversion"/>
  </si>
  <si>
    <t>국가대표</t>
    <phoneticPr fontId="2" type="noConversion"/>
  </si>
  <si>
    <t>선발전</t>
    <phoneticPr fontId="2" type="noConversion"/>
  </si>
  <si>
    <t>체육관사용료</t>
    <phoneticPr fontId="2" type="noConversion"/>
  </si>
  <si>
    <t>경기비</t>
    <phoneticPr fontId="2" type="noConversion"/>
  </si>
  <si>
    <t>ㅇ심판왕복여비</t>
    <phoneticPr fontId="2" type="noConversion"/>
  </si>
  <si>
    <t>ㅇ심판숙박비</t>
    <phoneticPr fontId="2" type="noConversion"/>
  </si>
  <si>
    <t>숙박비</t>
    <phoneticPr fontId="2" type="noConversion"/>
  </si>
  <si>
    <t>ㅇ임원숙박비</t>
    <phoneticPr fontId="2" type="noConversion"/>
  </si>
  <si>
    <t>ㅇ섭외식대</t>
    <phoneticPr fontId="2" type="noConversion"/>
  </si>
  <si>
    <t>여비및활동비</t>
    <phoneticPr fontId="2" type="noConversion"/>
  </si>
  <si>
    <t>ㅇ여비및활동비</t>
    <phoneticPr fontId="2" type="noConversion"/>
  </si>
  <si>
    <t>급식비</t>
    <phoneticPr fontId="2" type="noConversion"/>
  </si>
  <si>
    <t>ㅇ임원급식비</t>
    <phoneticPr fontId="2" type="noConversion"/>
  </si>
  <si>
    <t>선전비</t>
    <phoneticPr fontId="2" type="noConversion"/>
  </si>
  <si>
    <t>ㅇ현수막제작비</t>
    <phoneticPr fontId="2" type="noConversion"/>
  </si>
  <si>
    <t>예비비</t>
  </si>
  <si>
    <t>ㅇ예비비</t>
  </si>
  <si>
    <t>ㅇ숙박비</t>
    <phoneticPr fontId="2" type="noConversion"/>
  </si>
  <si>
    <t>대통령기</t>
    <phoneticPr fontId="2" type="noConversion"/>
  </si>
  <si>
    <t>시상비</t>
    <phoneticPr fontId="2" type="noConversion"/>
  </si>
  <si>
    <t xml:space="preserve">ㅇ종합시상금        </t>
    <phoneticPr fontId="2" type="noConversion"/>
  </si>
  <si>
    <t>(1위 - 3,000,000, 2위-2,000,0000, 3위-1,000,000)</t>
    <phoneticPr fontId="2" type="noConversion"/>
  </si>
  <si>
    <t>ㅇ종목별시상금</t>
    <phoneticPr fontId="2" type="noConversion"/>
  </si>
  <si>
    <t>ㅇ종합시상컵</t>
    <phoneticPr fontId="2" type="noConversion"/>
  </si>
  <si>
    <t>ㅇ종별시상컵</t>
    <phoneticPr fontId="2" type="noConversion"/>
  </si>
  <si>
    <t>ㅇ심판수당</t>
    <phoneticPr fontId="2" type="noConversion"/>
  </si>
  <si>
    <t>ㅇ심판식대</t>
    <phoneticPr fontId="2" type="noConversion"/>
  </si>
  <si>
    <t>ㅇ초청장 및 상장.케이스</t>
    <phoneticPr fontId="2" type="noConversion"/>
  </si>
  <si>
    <t>ㅇ임원식대</t>
    <phoneticPr fontId="2" type="noConversion"/>
  </si>
  <si>
    <t>ㅇ임원여비 및 활동비</t>
    <phoneticPr fontId="2" type="noConversion"/>
  </si>
  <si>
    <t>대회운영비보조</t>
    <phoneticPr fontId="2" type="noConversion"/>
  </si>
  <si>
    <t>ㅇ대회운영비보조</t>
    <phoneticPr fontId="2" type="noConversion"/>
  </si>
  <si>
    <t>보조비</t>
    <phoneticPr fontId="2" type="noConversion"/>
  </si>
  <si>
    <t>예비비</t>
    <phoneticPr fontId="2" type="noConversion"/>
  </si>
  <si>
    <t>ㅇ예비비</t>
    <phoneticPr fontId="2" type="noConversion"/>
  </si>
  <si>
    <t>소년체전</t>
    <phoneticPr fontId="2" type="noConversion"/>
  </si>
  <si>
    <t>ㅇ프로그램 인쇄비</t>
    <phoneticPr fontId="2" type="noConversion"/>
  </si>
  <si>
    <t>ㅇ운영비</t>
    <phoneticPr fontId="2" type="noConversion"/>
  </si>
  <si>
    <t>전국종별</t>
    <phoneticPr fontId="2" type="noConversion"/>
  </si>
  <si>
    <t>ㅇ시상컵 제작</t>
  </si>
  <si>
    <t>ㅇ개인종목 시상메달</t>
    <phoneticPr fontId="2" type="noConversion"/>
  </si>
  <si>
    <t>ㅇ대진추첨비(장소임대.식대)</t>
    <phoneticPr fontId="2" type="noConversion"/>
  </si>
  <si>
    <t>ㅇ프로그램 제작비</t>
    <phoneticPr fontId="2" type="noConversion"/>
  </si>
  <si>
    <t>ㅇ중계방송비</t>
    <phoneticPr fontId="2" type="noConversion"/>
  </si>
  <si>
    <t>문광부</t>
    <phoneticPr fontId="2" type="noConversion"/>
  </si>
  <si>
    <t xml:space="preserve">ㅇ시상컵제작 </t>
    <phoneticPr fontId="2" type="noConversion"/>
  </si>
  <si>
    <t>학생종별</t>
    <phoneticPr fontId="2" type="noConversion"/>
  </si>
  <si>
    <t>전국체전</t>
    <phoneticPr fontId="2" type="noConversion"/>
  </si>
  <si>
    <t>ㅇ임원숙소</t>
    <phoneticPr fontId="2" type="noConversion"/>
  </si>
  <si>
    <t>ㅇ개최시도 지원금</t>
    <phoneticPr fontId="2" type="noConversion"/>
  </si>
  <si>
    <t>종합선수권</t>
    <phoneticPr fontId="2" type="noConversion"/>
  </si>
  <si>
    <t>ㅇ프로그램제작비</t>
    <phoneticPr fontId="2" type="noConversion"/>
  </si>
  <si>
    <t>육성비</t>
    <phoneticPr fontId="2" type="noConversion"/>
  </si>
  <si>
    <t>지부육성비</t>
    <phoneticPr fontId="2" type="noConversion"/>
  </si>
  <si>
    <t>경기력향상보조</t>
    <phoneticPr fontId="2" type="noConversion"/>
  </si>
  <si>
    <t>ㅇ시도지부경기력향상비</t>
    <phoneticPr fontId="2" type="noConversion"/>
  </si>
  <si>
    <t>연맹육성보조금</t>
    <phoneticPr fontId="2" type="noConversion"/>
  </si>
  <si>
    <t>지원비</t>
    <phoneticPr fontId="2" type="noConversion"/>
  </si>
  <si>
    <t>ㅇ창단팀지원비</t>
    <phoneticPr fontId="2" type="noConversion"/>
  </si>
  <si>
    <t>ㅇ상무부대 지원금</t>
    <phoneticPr fontId="2" type="noConversion"/>
  </si>
  <si>
    <t xml:space="preserve">   - 경기력향상금</t>
    <phoneticPr fontId="2" type="noConversion"/>
  </si>
  <si>
    <t>강습회</t>
    <phoneticPr fontId="2" type="noConversion"/>
  </si>
  <si>
    <t>지도자강습회</t>
    <phoneticPr fontId="2" type="noConversion"/>
  </si>
  <si>
    <t>ㅇ지도자 및 심판 강습회</t>
    <phoneticPr fontId="2" type="noConversion"/>
  </si>
  <si>
    <t>훈련비</t>
    <phoneticPr fontId="2" type="noConversion"/>
  </si>
  <si>
    <t>급량비</t>
    <phoneticPr fontId="2" type="noConversion"/>
  </si>
  <si>
    <t>ㅇ자비급량비</t>
    <phoneticPr fontId="2" type="noConversion"/>
  </si>
  <si>
    <t>ㅇ간식비</t>
    <phoneticPr fontId="2" type="noConversion"/>
  </si>
  <si>
    <t>ㅇ특식비</t>
    <phoneticPr fontId="2" type="noConversion"/>
  </si>
  <si>
    <t>용구비</t>
    <phoneticPr fontId="2" type="noConversion"/>
  </si>
  <si>
    <t>ㅇ선수촌 훈련장 유지보수(매트등)</t>
    <phoneticPr fontId="2" type="noConversion"/>
  </si>
  <si>
    <t>수당</t>
    <phoneticPr fontId="2" type="noConversion"/>
  </si>
  <si>
    <t>ㅇ지도자수당</t>
    <phoneticPr fontId="2" type="noConversion"/>
  </si>
  <si>
    <t>ㅇ선수촌운영비</t>
    <phoneticPr fontId="2" type="noConversion"/>
  </si>
  <si>
    <t>의료비</t>
    <phoneticPr fontId="2" type="noConversion"/>
  </si>
  <si>
    <t xml:space="preserve">ㅇ대표선수 건강진단비 </t>
    <phoneticPr fontId="2" type="noConversion"/>
  </si>
  <si>
    <t>ㅇ의료비.약품구입비</t>
    <phoneticPr fontId="2" type="noConversion"/>
  </si>
  <si>
    <t>초등학교</t>
    <phoneticPr fontId="2" type="noConversion"/>
  </si>
  <si>
    <t>ㅇ훈련복제작비</t>
    <phoneticPr fontId="2" type="noConversion"/>
  </si>
  <si>
    <t>ㅇ탁구용품</t>
    <phoneticPr fontId="2" type="noConversion"/>
  </si>
  <si>
    <t>청소년</t>
    <phoneticPr fontId="2" type="noConversion"/>
  </si>
  <si>
    <t>대표훈련</t>
    <phoneticPr fontId="2" type="noConversion"/>
  </si>
  <si>
    <t>ㅇ급량비</t>
    <phoneticPr fontId="2" type="noConversion"/>
  </si>
  <si>
    <t xml:space="preserve"> </t>
  </si>
  <si>
    <t xml:space="preserve"> </t>
    <phoneticPr fontId="2" type="noConversion"/>
  </si>
  <si>
    <t>ㅇ체육관사용료</t>
    <phoneticPr fontId="2" type="noConversion"/>
  </si>
  <si>
    <t>후보선수</t>
    <phoneticPr fontId="2" type="noConversion"/>
  </si>
  <si>
    <t>해외파견비</t>
    <phoneticPr fontId="2" type="noConversion"/>
  </si>
  <si>
    <t>선수권</t>
    <phoneticPr fontId="2" type="noConversion"/>
  </si>
  <si>
    <t>항공료</t>
  </si>
  <si>
    <t>ㅇ항공료</t>
    <phoneticPr fontId="2" type="noConversion"/>
  </si>
  <si>
    <t>체재비</t>
  </si>
  <si>
    <t>ㅇ체재비</t>
    <phoneticPr fontId="2" type="noConversion"/>
  </si>
  <si>
    <t>수속비</t>
    <phoneticPr fontId="2" type="noConversion"/>
  </si>
  <si>
    <t>ㅇ여권및비자발급비 등</t>
    <phoneticPr fontId="2" type="noConversion"/>
  </si>
  <si>
    <t>남여아시안컵</t>
    <phoneticPr fontId="2" type="noConversion"/>
  </si>
  <si>
    <t>항공료</t>
    <phoneticPr fontId="2" type="noConversion"/>
  </si>
  <si>
    <t>오픈대회</t>
    <phoneticPr fontId="2" type="noConversion"/>
  </si>
  <si>
    <t>체재비</t>
    <phoneticPr fontId="2" type="noConversion"/>
  </si>
  <si>
    <t>동아시아</t>
    <phoneticPr fontId="2" type="noConversion"/>
  </si>
  <si>
    <t>호프스</t>
    <phoneticPr fontId="2" type="noConversion"/>
  </si>
  <si>
    <t>아시아</t>
    <phoneticPr fontId="2" type="noConversion"/>
  </si>
  <si>
    <t>주니어</t>
    <phoneticPr fontId="2" type="noConversion"/>
  </si>
  <si>
    <t>세계주니어</t>
    <phoneticPr fontId="2" type="noConversion"/>
  </si>
  <si>
    <t>해외전지훈련</t>
    <phoneticPr fontId="2" type="noConversion"/>
  </si>
  <si>
    <t>한중일</t>
    <phoneticPr fontId="2" type="noConversion"/>
  </si>
  <si>
    <t>주니어종합대회</t>
    <phoneticPr fontId="2" type="noConversion"/>
  </si>
  <si>
    <t>국제대회</t>
    <phoneticPr fontId="2" type="noConversion"/>
  </si>
  <si>
    <t>국내개최</t>
    <phoneticPr fontId="2" type="noConversion"/>
  </si>
  <si>
    <t>코리아</t>
    <phoneticPr fontId="2" type="noConversion"/>
  </si>
  <si>
    <t>오픈</t>
    <phoneticPr fontId="2" type="noConversion"/>
  </si>
  <si>
    <t>ㅇ시상금</t>
    <phoneticPr fontId="2" type="noConversion"/>
  </si>
  <si>
    <t>ㅇ기타시상경비(도우미,꽃다발,명패)</t>
    <phoneticPr fontId="2" type="noConversion"/>
  </si>
  <si>
    <t xml:space="preserve">                    (간식비)</t>
    <phoneticPr fontId="2" type="noConversion"/>
  </si>
  <si>
    <t>ㅇ대회장(내.외)현판</t>
    <phoneticPr fontId="2" type="noConversion"/>
  </si>
  <si>
    <t>ㅇ사진촬영 및 CD제작비</t>
    <phoneticPr fontId="2" type="noConversion"/>
  </si>
  <si>
    <t>ㅇ수송비(셔틀버스)</t>
    <phoneticPr fontId="2" type="noConversion"/>
  </si>
  <si>
    <t>ㅇ복사기外기기 임차료</t>
    <phoneticPr fontId="2" type="noConversion"/>
  </si>
  <si>
    <t>ㅇ통신비</t>
    <phoneticPr fontId="2" type="noConversion"/>
  </si>
  <si>
    <t>대회운영비</t>
    <phoneticPr fontId="2" type="noConversion"/>
  </si>
  <si>
    <t>ㅇ조직위원수당</t>
    <phoneticPr fontId="2" type="noConversion"/>
  </si>
  <si>
    <t>ㅇ조직위원식대</t>
    <phoneticPr fontId="2" type="noConversion"/>
  </si>
  <si>
    <t>ㅇ조직위원숙박비</t>
    <phoneticPr fontId="2" type="noConversion"/>
  </si>
  <si>
    <t>ㅇ통역요원숙박</t>
    <phoneticPr fontId="2" type="noConversion"/>
  </si>
  <si>
    <t>ㅇ업무추진비</t>
    <phoneticPr fontId="2" type="noConversion"/>
  </si>
  <si>
    <t>ㅇ봉사요원</t>
    <phoneticPr fontId="2" type="noConversion"/>
  </si>
  <si>
    <t>ㅇ기타(간식비 등)</t>
    <phoneticPr fontId="2" type="noConversion"/>
  </si>
  <si>
    <t>ㅇ음료.간식.문구등</t>
    <phoneticPr fontId="2" type="noConversion"/>
  </si>
  <si>
    <t>ㅇ컴퓨터.복사기 소모품</t>
    <phoneticPr fontId="2" type="noConversion"/>
  </si>
  <si>
    <t>ㅇVIP 영접비</t>
    <phoneticPr fontId="2" type="noConversion"/>
  </si>
  <si>
    <t>기금적립비</t>
    <phoneticPr fontId="2" type="noConversion"/>
  </si>
  <si>
    <t>기금</t>
    <phoneticPr fontId="2" type="noConversion"/>
  </si>
  <si>
    <t>공단기금</t>
    <phoneticPr fontId="2" type="noConversion"/>
  </si>
  <si>
    <t>자체기금</t>
    <phoneticPr fontId="2" type="noConversion"/>
  </si>
  <si>
    <t>이월금</t>
    <phoneticPr fontId="2" type="noConversion"/>
  </si>
  <si>
    <t>잔액이월금</t>
    <phoneticPr fontId="2" type="noConversion"/>
  </si>
  <si>
    <t>합계</t>
    <phoneticPr fontId="2" type="noConversion"/>
  </si>
  <si>
    <t>ㅇ탁구용품구입비(탁구대,탁구공,라바 등)</t>
    <phoneticPr fontId="2" type="noConversion"/>
  </si>
  <si>
    <t>예비비</t>
    <phoneticPr fontId="2" type="noConversion"/>
  </si>
  <si>
    <t>차량유지비</t>
    <phoneticPr fontId="2" type="noConversion"/>
  </si>
  <si>
    <t>(일본,오사카)</t>
    <phoneticPr fontId="2" type="noConversion"/>
  </si>
  <si>
    <t>ㅇ매트설치비</t>
    <phoneticPr fontId="2" type="noConversion"/>
  </si>
  <si>
    <t>30,000원X15명X5일=</t>
  </si>
  <si>
    <t>30,000원X15명X7일=</t>
  </si>
  <si>
    <t>15,000원X15명X7일=</t>
  </si>
  <si>
    <t>50,000원X15명=</t>
  </si>
  <si>
    <t>우승 - 500,000원X10종목=</t>
  </si>
  <si>
    <t>준우승 - 300,000원X10종목=</t>
  </si>
  <si>
    <t>30,000원X15명X6일=</t>
  </si>
  <si>
    <t>15,000원X15명X6일=</t>
  </si>
  <si>
    <t>40,000원X8실X6박=</t>
  </si>
  <si>
    <t>15,000원X15명X5일=</t>
  </si>
  <si>
    <t>1,500,000원X4분기=</t>
  </si>
  <si>
    <t>ㅇ심판숙박비</t>
    <phoneticPr fontId="2" type="noConversion"/>
  </si>
  <si>
    <t>ㅇ운임</t>
    <phoneticPr fontId="2" type="noConversion"/>
  </si>
  <si>
    <t>ㅇ시상메달제작비</t>
    <phoneticPr fontId="2" type="noConversion"/>
  </si>
  <si>
    <t>(단체)1위: 110,000X2개=</t>
    <phoneticPr fontId="2" type="noConversion"/>
  </si>
  <si>
    <t>2위:  99,000X2개=</t>
    <phoneticPr fontId="2" type="noConversion"/>
  </si>
  <si>
    <t>3위:  77,000X4개=</t>
    <phoneticPr fontId="2" type="noConversion"/>
  </si>
  <si>
    <t>22,000X32개=</t>
    <phoneticPr fontId="2" type="noConversion"/>
  </si>
  <si>
    <t>예비비</t>
    <phoneticPr fontId="2" type="noConversion"/>
  </si>
  <si>
    <t>ㅇ예비비</t>
    <phoneticPr fontId="2" type="noConversion"/>
  </si>
  <si>
    <t>ㅇ매트설치비 및 휀스카바 外</t>
    <phoneticPr fontId="2" type="noConversion"/>
  </si>
  <si>
    <t>1,000,000원X2회=</t>
    <phoneticPr fontId="2" type="noConversion"/>
  </si>
  <si>
    <t>ㅇ시상컵</t>
    <phoneticPr fontId="2" type="noConversion"/>
  </si>
  <si>
    <t>교통비</t>
    <phoneticPr fontId="2" type="noConversion"/>
  </si>
  <si>
    <t>대비훈련</t>
    <phoneticPr fontId="2" type="noConversion"/>
  </si>
  <si>
    <t>500,000원X2회=</t>
    <phoneticPr fontId="2" type="noConversion"/>
  </si>
  <si>
    <t>상비군 훈련</t>
    <phoneticPr fontId="2" type="noConversion"/>
  </si>
  <si>
    <t>(호프스,카뎃</t>
    <phoneticPr fontId="2" type="noConversion"/>
  </si>
  <si>
    <t>주니어 합동훈련)</t>
    <phoneticPr fontId="2" type="noConversion"/>
  </si>
  <si>
    <t>급식비</t>
    <phoneticPr fontId="2" type="noConversion"/>
  </si>
  <si>
    <t>숙박비</t>
    <phoneticPr fontId="2" type="noConversion"/>
  </si>
  <si>
    <t>시설비</t>
    <phoneticPr fontId="2" type="noConversion"/>
  </si>
  <si>
    <t>수당</t>
    <phoneticPr fontId="2" type="noConversion"/>
  </si>
  <si>
    <t>예비비</t>
    <phoneticPr fontId="2" type="noConversion"/>
  </si>
  <si>
    <t>8,000,000원X16개시도=</t>
    <phoneticPr fontId="2" type="noConversion"/>
  </si>
  <si>
    <t>세계선수권</t>
    <phoneticPr fontId="2" type="noConversion"/>
  </si>
  <si>
    <t>2008 예산</t>
    <phoneticPr fontId="2" type="noConversion"/>
  </si>
  <si>
    <t>300,000원X10회=</t>
    <phoneticPr fontId="2" type="noConversion"/>
  </si>
  <si>
    <t>제62회</t>
    <phoneticPr fontId="2" type="noConversion"/>
  </si>
  <si>
    <t>시상비</t>
    <phoneticPr fontId="2" type="noConversion"/>
  </si>
  <si>
    <t>경기비</t>
    <phoneticPr fontId="2" type="noConversion"/>
  </si>
  <si>
    <t>체육관사용료</t>
    <phoneticPr fontId="2" type="noConversion"/>
  </si>
  <si>
    <t>인쇄비</t>
    <phoneticPr fontId="2" type="noConversion"/>
  </si>
  <si>
    <t>시설비</t>
    <phoneticPr fontId="2" type="noConversion"/>
  </si>
  <si>
    <t>여비및활동비</t>
    <phoneticPr fontId="2" type="noConversion"/>
  </si>
  <si>
    <t>섭외비</t>
    <phoneticPr fontId="2" type="noConversion"/>
  </si>
  <si>
    <t>급식비</t>
    <phoneticPr fontId="2" type="noConversion"/>
  </si>
  <si>
    <t>숙박비</t>
    <phoneticPr fontId="2" type="noConversion"/>
  </si>
  <si>
    <t>ㅇ홍보비</t>
    <phoneticPr fontId="2" type="noConversion"/>
  </si>
  <si>
    <t>홍보비</t>
    <phoneticPr fontId="2" type="noConversion"/>
  </si>
  <si>
    <t>ㅇ예비비</t>
    <phoneticPr fontId="2" type="noConversion"/>
  </si>
  <si>
    <t>예비비</t>
    <phoneticPr fontId="2" type="noConversion"/>
  </si>
  <si>
    <t>ㅇ2008 한일 우수청소년 스포츠 교류사업</t>
    <phoneticPr fontId="2" type="noConversion"/>
  </si>
  <si>
    <t>(중국,베이징)</t>
    <phoneticPr fontId="2" type="noConversion"/>
  </si>
  <si>
    <t>항공료</t>
    <phoneticPr fontId="2" type="noConversion"/>
  </si>
  <si>
    <t>ㅇ항공료</t>
    <phoneticPr fontId="2" type="noConversion"/>
  </si>
  <si>
    <t>600,000원X10명=</t>
    <phoneticPr fontId="2" type="noConversion"/>
  </si>
  <si>
    <t>체재비</t>
    <phoneticPr fontId="2" type="noConversion"/>
  </si>
  <si>
    <t>ㅇ체재비</t>
    <phoneticPr fontId="2" type="noConversion"/>
  </si>
  <si>
    <t>$50X10명X12박X1,000원=</t>
    <phoneticPr fontId="2" type="noConversion"/>
  </si>
  <si>
    <t>대륙예선전</t>
    <phoneticPr fontId="2" type="noConversion"/>
  </si>
  <si>
    <t>600,000원X6명=</t>
    <phoneticPr fontId="2" type="noConversion"/>
  </si>
  <si>
    <t>ㅇ비자발급비</t>
    <phoneticPr fontId="2" type="noConversion"/>
  </si>
  <si>
    <t>$150X6명X6일X1,000원=</t>
    <phoneticPr fontId="2" type="noConversion"/>
  </si>
  <si>
    <t>(미정)</t>
    <phoneticPr fontId="2" type="noConversion"/>
  </si>
  <si>
    <t>주니어대표</t>
    <phoneticPr fontId="2" type="noConversion"/>
  </si>
  <si>
    <t>해외전지훈련</t>
    <phoneticPr fontId="2" type="noConversion"/>
  </si>
  <si>
    <t>포상금</t>
    <phoneticPr fontId="2" type="noConversion"/>
  </si>
  <si>
    <t>ㅇ심판간식비</t>
    <phoneticPr fontId="2" type="noConversion"/>
  </si>
  <si>
    <t>ㅇ프로그램제작비</t>
    <phoneticPr fontId="2" type="noConversion"/>
  </si>
  <si>
    <t>ㅇ심판간식비</t>
    <phoneticPr fontId="2" type="noConversion"/>
  </si>
  <si>
    <t>ㅇ심판숙박비</t>
    <phoneticPr fontId="2" type="noConversion"/>
  </si>
  <si>
    <t>ㅇ간식비</t>
    <phoneticPr fontId="2" type="noConversion"/>
  </si>
  <si>
    <t>(2009.01.01~2009.12.31)</t>
    <phoneticPr fontId="2" type="noConversion"/>
  </si>
  <si>
    <t>2009 예산</t>
    <phoneticPr fontId="2" type="noConversion"/>
  </si>
  <si>
    <t>(일본,요꼬하마)</t>
    <phoneticPr fontId="2" type="noConversion"/>
  </si>
  <si>
    <t>ㅇ항공료(선수단)</t>
    <phoneticPr fontId="2" type="noConversion"/>
  </si>
  <si>
    <t>ㅇ체재비 - 싱글룸</t>
    <phoneticPr fontId="2" type="noConversion"/>
  </si>
  <si>
    <t>선수 : 150유로X12명X11박X1,740원=</t>
    <phoneticPr fontId="2" type="noConversion"/>
  </si>
  <si>
    <r>
      <t>선수 : 180유로X</t>
    </r>
    <r>
      <rPr>
        <sz val="10"/>
        <color indexed="9"/>
        <rFont val="돋움"/>
        <family val="3"/>
        <charset val="129"/>
      </rPr>
      <t>1</t>
    </r>
    <r>
      <rPr>
        <sz val="10"/>
        <rFont val="돋움"/>
        <family val="3"/>
        <charset val="129"/>
      </rPr>
      <t>2명X11박X1,740원=</t>
    </r>
    <phoneticPr fontId="2" type="noConversion"/>
  </si>
  <si>
    <r>
      <rPr>
        <sz val="10"/>
        <color indexed="9"/>
        <rFont val="돋움"/>
        <family val="3"/>
        <charset val="129"/>
      </rPr>
      <t>선수 :</t>
    </r>
    <r>
      <rPr>
        <sz val="10"/>
        <rFont val="돋움"/>
        <family val="3"/>
        <charset val="129"/>
      </rPr>
      <t xml:space="preserve"> 150유로X</t>
    </r>
    <r>
      <rPr>
        <sz val="10"/>
        <color indexed="9"/>
        <rFont val="돋움"/>
        <family val="3"/>
        <charset val="129"/>
      </rPr>
      <t>1</t>
    </r>
    <r>
      <rPr>
        <sz val="10"/>
        <rFont val="돋움"/>
        <family val="3"/>
        <charset val="129"/>
      </rPr>
      <t>7명X</t>
    </r>
    <r>
      <rPr>
        <sz val="10"/>
        <color indexed="9"/>
        <rFont val="돋움"/>
        <family val="3"/>
        <charset val="129"/>
      </rPr>
      <t>1</t>
    </r>
    <r>
      <rPr>
        <sz val="10"/>
        <rFont val="돋움"/>
        <family val="3"/>
        <charset val="129"/>
      </rPr>
      <t>9박X1,740원=</t>
    </r>
    <phoneticPr fontId="2" type="noConversion"/>
  </si>
  <si>
    <t>ㅇ선수단 - 싱글룸</t>
    <phoneticPr fontId="2" type="noConversion"/>
  </si>
  <si>
    <t>ㅇ임원단 - 싱글룸</t>
    <phoneticPr fontId="2" type="noConversion"/>
  </si>
  <si>
    <r>
      <rPr>
        <sz val="10"/>
        <color indexed="9"/>
        <rFont val="돋움"/>
        <family val="3"/>
        <charset val="129"/>
      </rPr>
      <t>선수 :</t>
    </r>
    <r>
      <rPr>
        <sz val="10"/>
        <rFont val="돋움"/>
        <family val="3"/>
        <charset val="129"/>
      </rPr>
      <t xml:space="preserve"> 180유로X</t>
    </r>
    <r>
      <rPr>
        <sz val="10"/>
        <color indexed="9"/>
        <rFont val="돋움"/>
        <family val="3"/>
        <charset val="129"/>
      </rPr>
      <t>1</t>
    </r>
    <r>
      <rPr>
        <sz val="10"/>
        <rFont val="돋움"/>
        <family val="3"/>
        <charset val="129"/>
      </rPr>
      <t>2명X</t>
    </r>
    <r>
      <rPr>
        <sz val="10"/>
        <color indexed="9"/>
        <rFont val="돋움"/>
        <family val="3"/>
        <charset val="129"/>
      </rPr>
      <t>1</t>
    </r>
    <r>
      <rPr>
        <sz val="10"/>
        <rFont val="돋움"/>
        <family val="3"/>
        <charset val="129"/>
      </rPr>
      <t>9박X1,740원=</t>
    </r>
    <phoneticPr fontId="2" type="noConversion"/>
  </si>
  <si>
    <r>
      <rPr>
        <sz val="10"/>
        <color indexed="9"/>
        <rFont val="돋움"/>
        <family val="3"/>
        <charset val="129"/>
      </rPr>
      <t>선수 :</t>
    </r>
    <r>
      <rPr>
        <sz val="10"/>
        <rFont val="돋움"/>
        <family val="3"/>
        <charset val="129"/>
      </rPr>
      <t xml:space="preserve"> 150유로X</t>
    </r>
    <r>
      <rPr>
        <sz val="10"/>
        <color indexed="9"/>
        <rFont val="돋움"/>
        <family val="3"/>
        <charset val="129"/>
      </rPr>
      <t>1</t>
    </r>
    <r>
      <rPr>
        <sz val="10"/>
        <rFont val="돋움"/>
        <family val="3"/>
        <charset val="129"/>
      </rPr>
      <t>4명X</t>
    </r>
    <r>
      <rPr>
        <sz val="10"/>
        <color indexed="9"/>
        <rFont val="돋움"/>
        <family val="3"/>
        <charset val="129"/>
      </rPr>
      <t>1</t>
    </r>
    <r>
      <rPr>
        <sz val="10"/>
        <rFont val="돋움"/>
        <family val="3"/>
        <charset val="129"/>
      </rPr>
      <t>9박X1,740원=</t>
    </r>
    <phoneticPr fontId="2" type="noConversion"/>
  </si>
  <si>
    <t xml:space="preserve">             - 개최국 지원</t>
    <phoneticPr fontId="2" type="noConversion"/>
  </si>
  <si>
    <t>ㅇ참관단 - 더블룸</t>
    <phoneticPr fontId="2" type="noConversion"/>
  </si>
  <si>
    <r>
      <rPr>
        <sz val="10"/>
        <color indexed="9"/>
        <rFont val="돋움"/>
        <family val="3"/>
        <charset val="129"/>
      </rPr>
      <t>선수 :</t>
    </r>
    <r>
      <rPr>
        <sz val="10"/>
        <rFont val="돋움"/>
        <family val="3"/>
        <charset val="129"/>
      </rPr>
      <t xml:space="preserve"> 150유로X</t>
    </r>
    <r>
      <rPr>
        <sz val="10"/>
        <rFont val="돋움"/>
        <family val="3"/>
        <charset val="129"/>
      </rPr>
      <t>10명X</t>
    </r>
    <r>
      <rPr>
        <sz val="10"/>
        <color indexed="9"/>
        <rFont val="돋움"/>
        <family val="3"/>
        <charset val="129"/>
      </rPr>
      <t>1</t>
    </r>
    <r>
      <rPr>
        <sz val="10"/>
        <rFont val="돋움"/>
        <family val="3"/>
        <charset val="129"/>
      </rPr>
      <t>9박X1,740원=</t>
    </r>
    <phoneticPr fontId="2" type="noConversion"/>
  </si>
  <si>
    <t>ㅇ기자단 - 싱글룸</t>
    <phoneticPr fontId="2" type="noConversion"/>
  </si>
  <si>
    <r>
      <rPr>
        <sz val="10"/>
        <color indexed="9"/>
        <rFont val="돋움"/>
        <family val="3"/>
        <charset val="129"/>
      </rPr>
      <t>선수 :</t>
    </r>
    <r>
      <rPr>
        <sz val="10"/>
        <rFont val="돋움"/>
        <family val="3"/>
        <charset val="129"/>
      </rPr>
      <t xml:space="preserve"> 150유로X</t>
    </r>
    <r>
      <rPr>
        <sz val="10"/>
        <color indexed="9"/>
        <rFont val="돋움"/>
        <family val="3"/>
        <charset val="129"/>
      </rPr>
      <t>1</t>
    </r>
    <r>
      <rPr>
        <sz val="10"/>
        <rFont val="돋움"/>
        <family val="3"/>
        <charset val="129"/>
      </rPr>
      <t>1명X</t>
    </r>
    <r>
      <rPr>
        <sz val="10"/>
        <color indexed="9"/>
        <rFont val="돋움"/>
        <family val="3"/>
        <charset val="129"/>
      </rPr>
      <t>1</t>
    </r>
    <r>
      <rPr>
        <sz val="10"/>
        <rFont val="돋움"/>
        <family val="3"/>
        <charset val="129"/>
      </rPr>
      <t>1박X1,740원=</t>
    </r>
    <phoneticPr fontId="2" type="noConversion"/>
  </si>
  <si>
    <t>$10X19명X10일X1,350원=</t>
    <phoneticPr fontId="2" type="noConversion"/>
  </si>
  <si>
    <t>ㅇ엔트리비</t>
    <phoneticPr fontId="2" type="noConversion"/>
  </si>
  <si>
    <t>복식 : 40유로X12명X1,740원=</t>
    <phoneticPr fontId="2" type="noConversion"/>
  </si>
  <si>
    <t>단식 : 20유로X14명X1,740원=</t>
    <phoneticPr fontId="2" type="noConversion"/>
  </si>
  <si>
    <t>ㅇ심   판 - 싱글룸</t>
    <phoneticPr fontId="2" type="noConversion"/>
  </si>
  <si>
    <t>ㅇ여권 등</t>
    <phoneticPr fontId="2" type="noConversion"/>
  </si>
  <si>
    <t>ㅇ부식 구입비</t>
    <phoneticPr fontId="2" type="noConversion"/>
  </si>
  <si>
    <t>중국,일본</t>
    <phoneticPr fontId="2" type="noConversion"/>
  </si>
  <si>
    <t>ㅇ항공료(중국오픈)</t>
    <phoneticPr fontId="2" type="noConversion"/>
  </si>
  <si>
    <t>621,280원X16명=</t>
    <phoneticPr fontId="2" type="noConversion"/>
  </si>
  <si>
    <t xml:space="preserve">             (일본오픈)</t>
    <phoneticPr fontId="2" type="noConversion"/>
  </si>
  <si>
    <t>582,250원X16명=</t>
    <phoneticPr fontId="2" type="noConversion"/>
  </si>
  <si>
    <t>ㅇ중국오픈 - 싱글룸</t>
    <phoneticPr fontId="2" type="noConversion"/>
  </si>
  <si>
    <r>
      <t>$150X</t>
    </r>
    <r>
      <rPr>
        <sz val="10"/>
        <color indexed="9"/>
        <rFont val="돋움"/>
        <family val="3"/>
        <charset val="129"/>
      </rPr>
      <t>1</t>
    </r>
    <r>
      <rPr>
        <sz val="10"/>
        <rFont val="돋움"/>
        <family val="3"/>
        <charset val="129"/>
      </rPr>
      <t>4명X6박X1,350원=</t>
    </r>
    <phoneticPr fontId="2" type="noConversion"/>
  </si>
  <si>
    <t>$120X12명X6박X1,350원=</t>
    <phoneticPr fontId="2" type="noConversion"/>
  </si>
  <si>
    <r>
      <rPr>
        <sz val="10"/>
        <color indexed="9"/>
        <rFont val="돋움"/>
        <family val="3"/>
        <charset val="129"/>
      </rPr>
      <t xml:space="preserve">ㅇ중국오픈 </t>
    </r>
    <r>
      <rPr>
        <sz val="10"/>
        <rFont val="돋움"/>
        <family val="3"/>
        <charset val="129"/>
      </rPr>
      <t>- 더블룸</t>
    </r>
    <phoneticPr fontId="2" type="noConversion"/>
  </si>
  <si>
    <t>ㅇ일본오픈 - 싱글룸</t>
    <phoneticPr fontId="2" type="noConversion"/>
  </si>
  <si>
    <r>
      <t>180유로X</t>
    </r>
    <r>
      <rPr>
        <sz val="10"/>
        <color indexed="9"/>
        <rFont val="돋움"/>
        <family val="3"/>
        <charset val="129"/>
      </rPr>
      <t>1</t>
    </r>
    <r>
      <rPr>
        <sz val="10"/>
        <rFont val="돋움"/>
        <family val="3"/>
        <charset val="129"/>
      </rPr>
      <t>4명X5박X1,740원=</t>
    </r>
    <phoneticPr fontId="2" type="noConversion"/>
  </si>
  <si>
    <t>150유로X12명X5박X1,740원=</t>
    <phoneticPr fontId="2" type="noConversion"/>
  </si>
  <si>
    <t>ㅇ간  식 비 - 중국오픈</t>
    <phoneticPr fontId="2" type="noConversion"/>
  </si>
  <si>
    <t>$10X16명X7일X1,350원=</t>
    <phoneticPr fontId="2" type="noConversion"/>
  </si>
  <si>
    <r>
      <rPr>
        <sz val="10"/>
        <color indexed="9"/>
        <rFont val="돋움"/>
        <family val="3"/>
        <charset val="129"/>
      </rPr>
      <t xml:space="preserve">ㅇ중국오픈 </t>
    </r>
    <r>
      <rPr>
        <sz val="10"/>
        <rFont val="돋움"/>
        <family val="3"/>
        <charset val="129"/>
      </rPr>
      <t>- 일본오픈</t>
    </r>
    <phoneticPr fontId="2" type="noConversion"/>
  </si>
  <si>
    <t>$10X16명X6일X1,350원=</t>
    <phoneticPr fontId="2" type="noConversion"/>
  </si>
  <si>
    <t>ㅇ엔트리비 - 중국오픈</t>
    <phoneticPr fontId="2" type="noConversion"/>
  </si>
  <si>
    <t>$20X12명X2회X1,350원=</t>
    <phoneticPr fontId="2" type="noConversion"/>
  </si>
  <si>
    <t>ㅇ등  록 비 - 중국오픈</t>
    <phoneticPr fontId="2" type="noConversion"/>
  </si>
  <si>
    <t>(선수) 125유로X12명X1,740원=</t>
    <phoneticPr fontId="2" type="noConversion"/>
  </si>
  <si>
    <r>
      <t>(임원) 100유로X</t>
    </r>
    <r>
      <rPr>
        <sz val="10"/>
        <color indexed="9"/>
        <rFont val="돋움"/>
        <family val="3"/>
        <charset val="129"/>
      </rPr>
      <t>1</t>
    </r>
    <r>
      <rPr>
        <sz val="10"/>
        <rFont val="돋움"/>
        <family val="3"/>
        <charset val="129"/>
      </rPr>
      <t>4명X1,740원=</t>
    </r>
    <phoneticPr fontId="2" type="noConversion"/>
  </si>
  <si>
    <t>ㅇ여권 및 비자 수속비</t>
    <phoneticPr fontId="2" type="noConversion"/>
  </si>
  <si>
    <t>250,000원X2개대회=</t>
    <phoneticPr fontId="2" type="noConversion"/>
  </si>
  <si>
    <t>1,000,000원X2개대회=</t>
    <phoneticPr fontId="2" type="noConversion"/>
  </si>
  <si>
    <t>폴란드,스웨덴</t>
    <phoneticPr fontId="2" type="noConversion"/>
  </si>
  <si>
    <t>2,500,000원X16명=</t>
    <phoneticPr fontId="2" type="noConversion"/>
  </si>
  <si>
    <t>150유로X12명X7박X1,740원=</t>
    <phoneticPr fontId="2" type="noConversion"/>
  </si>
  <si>
    <r>
      <t>175유로X</t>
    </r>
    <r>
      <rPr>
        <sz val="10"/>
        <color indexed="9"/>
        <rFont val="돋움"/>
        <family val="3"/>
        <charset val="129"/>
      </rPr>
      <t>1</t>
    </r>
    <r>
      <rPr>
        <sz val="10"/>
        <rFont val="돋움"/>
        <family val="3"/>
        <charset val="129"/>
      </rPr>
      <t>4명X7박X1,740원=</t>
    </r>
    <phoneticPr fontId="2" type="noConversion"/>
  </si>
  <si>
    <r>
      <t>155유로X</t>
    </r>
    <r>
      <rPr>
        <sz val="10"/>
        <color indexed="9"/>
        <rFont val="돋움"/>
        <family val="3"/>
        <charset val="129"/>
      </rPr>
      <t>1</t>
    </r>
    <r>
      <rPr>
        <sz val="10"/>
        <rFont val="돋움"/>
        <family val="3"/>
        <charset val="129"/>
      </rPr>
      <t>4명X7박X1,740원=</t>
    </r>
    <phoneticPr fontId="2" type="noConversion"/>
  </si>
  <si>
    <t>130유로X12명X7박X1,740원=</t>
    <phoneticPr fontId="2" type="noConversion"/>
  </si>
  <si>
    <r>
      <rPr>
        <sz val="10"/>
        <color indexed="9"/>
        <rFont val="돋움"/>
        <family val="3"/>
        <charset val="129"/>
      </rPr>
      <t xml:space="preserve">    웨덴오픈</t>
    </r>
    <r>
      <rPr>
        <sz val="10"/>
        <rFont val="돋움"/>
        <family val="3"/>
        <charset val="129"/>
      </rPr>
      <t>- 더블룸</t>
    </r>
    <phoneticPr fontId="2" type="noConversion"/>
  </si>
  <si>
    <t>ㅇ스  웨 덴 - 싱글룸</t>
    <phoneticPr fontId="2" type="noConversion"/>
  </si>
  <si>
    <t>ㅇ폴  란 드 - 싱글룸</t>
    <phoneticPr fontId="2" type="noConversion"/>
  </si>
  <si>
    <t>$10X16명X16일X1,350원=</t>
    <phoneticPr fontId="2" type="noConversion"/>
  </si>
  <si>
    <t>ㅇ등  록 비 - 스웨덴오픈</t>
    <phoneticPr fontId="2" type="noConversion"/>
  </si>
  <si>
    <r>
      <rPr>
        <sz val="10"/>
        <color indexed="9"/>
        <rFont val="돋움"/>
        <family val="3"/>
        <charset val="129"/>
      </rPr>
      <t xml:space="preserve">ㅇ중국오픈 </t>
    </r>
    <r>
      <rPr>
        <sz val="10"/>
        <rFont val="돋움"/>
        <family val="3"/>
        <charset val="129"/>
      </rPr>
      <t>- 폴란드오픈</t>
    </r>
    <phoneticPr fontId="2" type="noConversion"/>
  </si>
  <si>
    <t>ㅇ간  식 비</t>
    <phoneticPr fontId="2" type="noConversion"/>
  </si>
  <si>
    <t>2,000,000원X2개대회=</t>
    <phoneticPr fontId="2" type="noConversion"/>
  </si>
  <si>
    <t>800,000원X19명=</t>
    <phoneticPr fontId="2" type="noConversion"/>
  </si>
  <si>
    <r>
      <t>150유로X</t>
    </r>
    <r>
      <rPr>
        <sz val="10"/>
        <color indexed="9"/>
        <rFont val="돋움"/>
        <family val="3"/>
        <charset val="129"/>
      </rPr>
      <t>1</t>
    </r>
    <r>
      <rPr>
        <sz val="10"/>
        <rFont val="돋움"/>
        <family val="3"/>
        <charset val="129"/>
      </rPr>
      <t>3명X8박X1,740원=</t>
    </r>
    <phoneticPr fontId="2" type="noConversion"/>
  </si>
  <si>
    <t>100유로X16명X8박X1,740원=</t>
    <phoneticPr fontId="2" type="noConversion"/>
  </si>
  <si>
    <r>
      <rPr>
        <sz val="10"/>
        <color indexed="9"/>
        <rFont val="돋움"/>
        <family val="3"/>
        <charset val="129"/>
      </rPr>
      <t>ㅇ체재비</t>
    </r>
    <r>
      <rPr>
        <sz val="10"/>
        <rFont val="돋움"/>
        <family val="3"/>
        <charset val="129"/>
      </rPr>
      <t xml:space="preserve"> - 더블룸</t>
    </r>
    <phoneticPr fontId="2" type="noConversion"/>
  </si>
  <si>
    <r>
      <t>100유로X</t>
    </r>
    <r>
      <rPr>
        <sz val="10"/>
        <color indexed="9"/>
        <rFont val="돋움"/>
        <family val="3"/>
        <charset val="129"/>
      </rPr>
      <t>1</t>
    </r>
    <r>
      <rPr>
        <sz val="10"/>
        <rFont val="돋움"/>
        <family val="3"/>
        <charset val="129"/>
      </rPr>
      <t>7명X7박X1,740원=</t>
    </r>
    <phoneticPr fontId="2" type="noConversion"/>
  </si>
  <si>
    <t>$10X19명X9일X1,350원=</t>
    <phoneticPr fontId="2" type="noConversion"/>
  </si>
  <si>
    <t>150,000원X12월=</t>
    <phoneticPr fontId="2" type="noConversion"/>
  </si>
  <si>
    <t>제55회</t>
    <phoneticPr fontId="2" type="noConversion"/>
  </si>
  <si>
    <t>제25회</t>
    <phoneticPr fontId="2" type="noConversion"/>
  </si>
  <si>
    <t>제38회</t>
    <phoneticPr fontId="2" type="noConversion"/>
  </si>
  <si>
    <t xml:space="preserve">제42회 </t>
    <phoneticPr fontId="2" type="noConversion"/>
  </si>
  <si>
    <t xml:space="preserve">제90회 </t>
    <phoneticPr fontId="2" type="noConversion"/>
  </si>
  <si>
    <t>제63회</t>
    <phoneticPr fontId="2" type="noConversion"/>
  </si>
  <si>
    <t>ㅇ연맹경기력향상비</t>
    <phoneticPr fontId="2" type="noConversion"/>
  </si>
  <si>
    <r>
      <t>8,000,000원X</t>
    </r>
    <r>
      <rPr>
        <sz val="10"/>
        <color indexed="9"/>
        <rFont val="돋움"/>
        <family val="3"/>
        <charset val="129"/>
      </rPr>
      <t>1</t>
    </r>
    <r>
      <rPr>
        <sz val="10"/>
        <rFont val="돋움"/>
        <family val="3"/>
        <charset val="129"/>
      </rPr>
      <t>4개연맹=</t>
    </r>
    <phoneticPr fontId="2" type="noConversion"/>
  </si>
  <si>
    <t>1,000,000원X10개팀=</t>
    <phoneticPr fontId="2" type="noConversion"/>
  </si>
  <si>
    <t>2008올림픽</t>
    <phoneticPr fontId="2" type="noConversion"/>
  </si>
  <si>
    <t>80,000원X12월=</t>
    <phoneticPr fontId="2" type="noConversion"/>
  </si>
  <si>
    <t>ㅇ임.직원 업무추진비</t>
    <phoneticPr fontId="2" type="noConversion"/>
  </si>
  <si>
    <t>베이징올림픽</t>
    <phoneticPr fontId="2" type="noConversion"/>
  </si>
  <si>
    <t>ㅇ항공료</t>
    <phoneticPr fontId="2" type="noConversion"/>
  </si>
  <si>
    <t>$100X12명X9박X1,350원=</t>
    <phoneticPr fontId="2" type="noConversion"/>
  </si>
  <si>
    <t>(인도)</t>
    <phoneticPr fontId="2" type="noConversion"/>
  </si>
  <si>
    <t>85,000원X18명=</t>
    <phoneticPr fontId="2" type="noConversion"/>
  </si>
  <si>
    <t>ㅇ체재비-싱글룸</t>
    <phoneticPr fontId="2" type="noConversion"/>
  </si>
  <si>
    <r>
      <rPr>
        <sz val="10"/>
        <color indexed="9"/>
        <rFont val="돋움"/>
        <family val="3"/>
        <charset val="129"/>
      </rPr>
      <t>ㅇ체재비</t>
    </r>
    <r>
      <rPr>
        <sz val="10"/>
        <rFont val="돋움"/>
        <family val="3"/>
        <charset val="129"/>
      </rPr>
      <t>-더블룸</t>
    </r>
    <phoneticPr fontId="2" type="noConversion"/>
  </si>
  <si>
    <t>80유로X10명X13박X1,740원=</t>
    <phoneticPr fontId="2" type="noConversion"/>
  </si>
  <si>
    <r>
      <rPr>
        <sz val="10"/>
        <color indexed="9"/>
        <rFont val="돋움"/>
        <family val="3"/>
        <charset val="129"/>
      </rPr>
      <t>ㅇ체재비</t>
    </r>
    <r>
      <rPr>
        <sz val="10"/>
        <rFont val="돋움"/>
        <family val="3"/>
        <charset val="129"/>
      </rPr>
      <t>-개최국 지원</t>
    </r>
    <phoneticPr fontId="2" type="noConversion"/>
  </si>
  <si>
    <r>
      <t>80유로X</t>
    </r>
    <r>
      <rPr>
        <sz val="10"/>
        <color indexed="9"/>
        <rFont val="돋움"/>
        <family val="3"/>
        <charset val="129"/>
      </rPr>
      <t>1</t>
    </r>
    <r>
      <rPr>
        <sz val="10"/>
        <rFont val="돋움"/>
        <family val="3"/>
        <charset val="129"/>
      </rPr>
      <t>5명X10박X1,740원=</t>
    </r>
    <phoneticPr fontId="2" type="noConversion"/>
  </si>
  <si>
    <r>
      <t>34유로X</t>
    </r>
    <r>
      <rPr>
        <sz val="10"/>
        <color indexed="9"/>
        <rFont val="돋움"/>
        <family val="3"/>
        <charset val="129"/>
      </rPr>
      <t>1</t>
    </r>
    <r>
      <rPr>
        <sz val="10"/>
        <rFont val="돋움"/>
        <family val="3"/>
        <charset val="129"/>
      </rPr>
      <t>2팀X1,740원=</t>
    </r>
    <phoneticPr fontId="2" type="noConversion"/>
  </si>
  <si>
    <r>
      <t>20유로X</t>
    </r>
    <r>
      <rPr>
        <sz val="10"/>
        <color indexed="9"/>
        <rFont val="돋움"/>
        <family val="3"/>
        <charset val="129"/>
      </rPr>
      <t>1</t>
    </r>
    <r>
      <rPr>
        <sz val="10"/>
        <rFont val="돋움"/>
        <family val="3"/>
        <charset val="129"/>
      </rPr>
      <t>8명X1,740원=</t>
    </r>
    <phoneticPr fontId="2" type="noConversion"/>
  </si>
  <si>
    <r>
      <t>10유로X</t>
    </r>
    <r>
      <rPr>
        <sz val="10"/>
        <color indexed="9"/>
        <rFont val="돋움"/>
        <family val="3"/>
        <charset val="129"/>
      </rPr>
      <t>1</t>
    </r>
    <r>
      <rPr>
        <sz val="10"/>
        <rFont val="돋움"/>
        <family val="3"/>
        <charset val="129"/>
      </rPr>
      <t>8명X1,740원=</t>
    </r>
    <phoneticPr fontId="2" type="noConversion"/>
  </si>
  <si>
    <t>(콜롬비아)</t>
    <phoneticPr fontId="2" type="noConversion"/>
  </si>
  <si>
    <t>621,280원X6명=</t>
    <phoneticPr fontId="2" type="noConversion"/>
  </si>
  <si>
    <t>$170X2명X3박X1,350원=</t>
    <phoneticPr fontId="2" type="noConversion"/>
  </si>
  <si>
    <t>$150X4명X3박X1,350원=</t>
    <phoneticPr fontId="2" type="noConversion"/>
  </si>
  <si>
    <t>더블:$150X4명X3박X1,350원=</t>
    <phoneticPr fontId="2" type="noConversion"/>
  </si>
  <si>
    <t>싱글:$170X1명X3박X1,350원=</t>
    <phoneticPr fontId="2" type="noConversion"/>
  </si>
  <si>
    <t>$10X6명X4일X1,350원=</t>
    <phoneticPr fontId="2" type="noConversion"/>
  </si>
  <si>
    <t>(스페인,프랑스)</t>
    <phoneticPr fontId="2" type="noConversion"/>
  </si>
  <si>
    <t>2,700,000원X15명=</t>
    <phoneticPr fontId="2" type="noConversion"/>
  </si>
  <si>
    <t>120유로X1명X7박X1,740원=</t>
    <phoneticPr fontId="2" type="noConversion"/>
  </si>
  <si>
    <t>80유로X14명X7박X1,740원=</t>
    <phoneticPr fontId="2" type="noConversion"/>
  </si>
  <si>
    <t>ㅇ스페인-싱글룸</t>
    <phoneticPr fontId="2" type="noConversion"/>
  </si>
  <si>
    <t>ㅇ프랑스-싱글룸</t>
    <phoneticPr fontId="2" type="noConversion"/>
  </si>
  <si>
    <r>
      <rPr>
        <sz val="10"/>
        <color indexed="9"/>
        <rFont val="돋움"/>
        <family val="3"/>
        <charset val="129"/>
      </rPr>
      <t>ㅇ프랑스</t>
    </r>
    <r>
      <rPr>
        <sz val="10"/>
        <rFont val="돋움"/>
        <family val="3"/>
        <charset val="129"/>
      </rPr>
      <t>-더블룸</t>
    </r>
    <phoneticPr fontId="2" type="noConversion"/>
  </si>
  <si>
    <t>145유로X1명X7박X1,740원=</t>
    <phoneticPr fontId="2" type="noConversion"/>
  </si>
  <si>
    <t>105유로X14명X7박X1,740원=</t>
    <phoneticPr fontId="2" type="noConversion"/>
  </si>
  <si>
    <t>$10X15명X15일X1,350원=</t>
    <phoneticPr fontId="2" type="noConversion"/>
  </si>
  <si>
    <t>수속비</t>
    <phoneticPr fontId="2" type="noConversion"/>
  </si>
  <si>
    <t>월드팀컵</t>
    <phoneticPr fontId="2" type="noConversion"/>
  </si>
  <si>
    <t>(오스트리아,린쯔)</t>
    <phoneticPr fontId="2" type="noConversion"/>
  </si>
  <si>
    <t>2,000,000원X11명=</t>
    <phoneticPr fontId="2" type="noConversion"/>
  </si>
  <si>
    <t>145유로X3명X6박X1,740원=</t>
    <phoneticPr fontId="2" type="noConversion"/>
  </si>
  <si>
    <t>120유로X8명X6박X1,740원=</t>
    <phoneticPr fontId="2" type="noConversion"/>
  </si>
  <si>
    <t>120유로X4명X5박X1,740원=</t>
    <phoneticPr fontId="2" type="noConversion"/>
  </si>
  <si>
    <t>$10X11명X7박X1,350원</t>
    <phoneticPr fontId="2" type="noConversion"/>
  </si>
  <si>
    <t>200,000원X2명=</t>
    <phoneticPr fontId="2" type="noConversion"/>
  </si>
  <si>
    <t>100,000원X1회=</t>
    <phoneticPr fontId="2" type="noConversion"/>
  </si>
  <si>
    <t>$300X1,350원=</t>
    <phoneticPr fontId="2" type="noConversion"/>
  </si>
  <si>
    <t>ㅇ임원 급식비</t>
    <phoneticPr fontId="2" type="noConversion"/>
  </si>
  <si>
    <t>500,000원X5명=</t>
    <phoneticPr fontId="2" type="noConversion"/>
  </si>
  <si>
    <t>월드카뎃챌린지</t>
    <phoneticPr fontId="2" type="noConversion"/>
  </si>
  <si>
    <t>(일본,도쿄)</t>
    <phoneticPr fontId="2" type="noConversion"/>
  </si>
  <si>
    <t>주니어써킷</t>
    <phoneticPr fontId="2" type="noConversion"/>
  </si>
  <si>
    <t>582,250원X8명=</t>
    <phoneticPr fontId="2" type="noConversion"/>
  </si>
  <si>
    <t>ㅇ체재비-주니어 코치</t>
    <phoneticPr fontId="2" type="noConversion"/>
  </si>
  <si>
    <t>$125X1명X4박X1,350원=</t>
    <phoneticPr fontId="2" type="noConversion"/>
  </si>
  <si>
    <t>$10X8명X5일X1,350원=</t>
    <phoneticPr fontId="2" type="noConversion"/>
  </si>
  <si>
    <t>650,000원X12월=</t>
    <phoneticPr fontId="2" type="noConversion"/>
  </si>
  <si>
    <t>450,000원X12월=</t>
    <phoneticPr fontId="2" type="noConversion"/>
  </si>
  <si>
    <t>해외전지훈련</t>
    <phoneticPr fontId="2" type="noConversion"/>
  </si>
  <si>
    <t>(푼샬,에콰도르)</t>
    <phoneticPr fontId="2" type="noConversion"/>
  </si>
  <si>
    <r>
      <t>ㅇ푼</t>
    </r>
    <r>
      <rPr>
        <sz val="10"/>
        <color indexed="9"/>
        <rFont val="돋움"/>
        <family val="3"/>
        <charset val="129"/>
      </rPr>
      <t>재</t>
    </r>
    <r>
      <rPr>
        <sz val="10"/>
        <rFont val="돋움"/>
        <family val="3"/>
        <charset val="129"/>
      </rPr>
      <t>샬-싱글룸</t>
    </r>
    <phoneticPr fontId="2" type="noConversion"/>
  </si>
  <si>
    <t>100유로X1명X7박X1,740원=</t>
    <phoneticPr fontId="2" type="noConversion"/>
  </si>
  <si>
    <t>ㅇ에콰도르-싱글룸</t>
    <phoneticPr fontId="2" type="noConversion"/>
  </si>
  <si>
    <t>$75X1명X7박X1,350원=</t>
    <phoneticPr fontId="2" type="noConversion"/>
  </si>
  <si>
    <r>
      <rPr>
        <sz val="10"/>
        <color indexed="9"/>
        <rFont val="돋움"/>
        <family val="3"/>
        <charset val="129"/>
      </rPr>
      <t>ㅇ체재비비</t>
    </r>
    <r>
      <rPr>
        <sz val="10"/>
        <rFont val="돋움"/>
        <family val="3"/>
        <charset val="129"/>
      </rPr>
      <t>-더블룸</t>
    </r>
    <phoneticPr fontId="2" type="noConversion"/>
  </si>
  <si>
    <t>$65X14명X7박X1,350원=</t>
    <phoneticPr fontId="2" type="noConversion"/>
  </si>
  <si>
    <t>국제회의파견</t>
    <phoneticPr fontId="2" type="noConversion"/>
  </si>
  <si>
    <t>(아시아연합)</t>
    <phoneticPr fontId="2" type="noConversion"/>
  </si>
  <si>
    <t>600,000원X1명=</t>
    <phoneticPr fontId="2" type="noConversion"/>
  </si>
  <si>
    <t>ㅇ출장비</t>
    <phoneticPr fontId="2" type="noConversion"/>
  </si>
  <si>
    <t>$80X1명X5일X1,350원=</t>
    <phoneticPr fontId="2" type="noConversion"/>
  </si>
  <si>
    <t>(국제연맹)</t>
    <phoneticPr fontId="2" type="noConversion"/>
  </si>
  <si>
    <t>2,000,000원X1명=</t>
    <phoneticPr fontId="2" type="noConversion"/>
  </si>
  <si>
    <t>1,300,000원X19명=</t>
    <phoneticPr fontId="2" type="noConversion"/>
  </si>
  <si>
    <r>
      <t>$130X</t>
    </r>
    <r>
      <rPr>
        <sz val="10"/>
        <rFont val="돋움"/>
        <family val="3"/>
        <charset val="129"/>
      </rPr>
      <t>7명X9박X1,350원=</t>
    </r>
    <phoneticPr fontId="2" type="noConversion"/>
  </si>
  <si>
    <r>
      <t>$100X</t>
    </r>
    <r>
      <rPr>
        <sz val="10"/>
        <rFont val="돋움"/>
        <family val="3"/>
        <charset val="129"/>
      </rPr>
      <t>9명X8박X1,350원=</t>
    </r>
    <phoneticPr fontId="2" type="noConversion"/>
  </si>
  <si>
    <t>582,250원X19명=</t>
    <phoneticPr fontId="2" type="noConversion"/>
  </si>
  <si>
    <t>$10X19명X12일X1,350원=</t>
    <phoneticPr fontId="2" type="noConversion"/>
  </si>
  <si>
    <t>200,000원X4개X2회=</t>
    <phoneticPr fontId="2" type="noConversion"/>
  </si>
  <si>
    <t>ㅇ토너구입(칼라프린트)</t>
    <phoneticPr fontId="2" type="noConversion"/>
  </si>
  <si>
    <t>86,000원X4회=</t>
    <phoneticPr fontId="2" type="noConversion"/>
  </si>
  <si>
    <t xml:space="preserve">              (흑백프린트)</t>
    <phoneticPr fontId="2" type="noConversion"/>
  </si>
  <si>
    <t>ㅇ봉투제작비</t>
    <phoneticPr fontId="2" type="noConversion"/>
  </si>
  <si>
    <t>ㅇ차량임차료</t>
    <phoneticPr fontId="2" type="noConversion"/>
  </si>
  <si>
    <t>918,500원X12개월=</t>
    <phoneticPr fontId="2" type="noConversion"/>
  </si>
  <si>
    <t>50,000원X12개월=</t>
    <phoneticPr fontId="2" type="noConversion"/>
  </si>
  <si>
    <t>ㅇ주유비</t>
    <phoneticPr fontId="2" type="noConversion"/>
  </si>
  <si>
    <t>200,000원X12개월=</t>
    <phoneticPr fontId="2" type="noConversion"/>
  </si>
  <si>
    <t>1,000,000원X12월=</t>
    <phoneticPr fontId="2" type="noConversion"/>
  </si>
  <si>
    <t>ㅇ심판증 카드발급기 및 프로그램</t>
    <phoneticPr fontId="2" type="noConversion"/>
  </si>
  <si>
    <t>꿈나무선수</t>
    <phoneticPr fontId="2" type="noConversion"/>
  </si>
  <si>
    <t>ㅇ2009 꿈나무선수 선발 측정.평가비</t>
    <phoneticPr fontId="2" type="noConversion"/>
  </si>
  <si>
    <t>ㅇ2009 꿈나무선수 관리지원비</t>
    <phoneticPr fontId="2" type="noConversion"/>
  </si>
  <si>
    <t>ㅇ2009 꿈나무선수 하계합숙훈련비</t>
    <phoneticPr fontId="2" type="noConversion"/>
  </si>
  <si>
    <t>ㅇ2009 꿈나무선수 동계합숙훈련비</t>
    <phoneticPr fontId="2" type="noConversion"/>
  </si>
  <si>
    <t>ㅇ2009 후보선수 동계합숙훈련비</t>
    <phoneticPr fontId="2" type="noConversion"/>
  </si>
  <si>
    <t>ㅇ2009 후보선수 하계합숙훈련비</t>
    <phoneticPr fontId="2" type="noConversion"/>
  </si>
  <si>
    <t>ㅇ복사기유지보수료</t>
    <phoneticPr fontId="2" type="noConversion"/>
  </si>
  <si>
    <t>100,000원X12개월=</t>
    <phoneticPr fontId="2" type="noConversion"/>
  </si>
  <si>
    <t>ㅇ홈페이지실명확인수수료</t>
    <phoneticPr fontId="2" type="noConversion"/>
  </si>
  <si>
    <t>55,000원X12개월=</t>
    <phoneticPr fontId="2" type="noConversion"/>
  </si>
  <si>
    <t>ㅇ일반서류 인쇄비(상장양식포함)</t>
    <phoneticPr fontId="2" type="noConversion"/>
  </si>
  <si>
    <t>ㅇ프린터드럼교체비용</t>
    <phoneticPr fontId="2" type="noConversion"/>
  </si>
  <si>
    <t>ㅇ사무시설 및 비품구입</t>
    <phoneticPr fontId="2" type="noConversion"/>
  </si>
  <si>
    <t>ㅇ직원 국내출장</t>
    <phoneticPr fontId="2" type="noConversion"/>
  </si>
  <si>
    <t>ㅇ3연패기제작비(삼성생명남자팀)</t>
    <phoneticPr fontId="2" type="noConversion"/>
  </si>
  <si>
    <t>250,000원X1개=</t>
    <phoneticPr fontId="2" type="noConversion"/>
  </si>
  <si>
    <t>30,000원X21명X5일=</t>
    <phoneticPr fontId="2" type="noConversion"/>
  </si>
  <si>
    <t>15,000원X26명X5일=</t>
    <phoneticPr fontId="2" type="noConversion"/>
  </si>
  <si>
    <t>10,000원X14명X5일=</t>
    <phoneticPr fontId="2" type="noConversion"/>
  </si>
  <si>
    <t>30,000원X20명=</t>
    <phoneticPr fontId="2" type="noConversion"/>
  </si>
  <si>
    <t>50,000원X1명=</t>
    <phoneticPr fontId="2" type="noConversion"/>
  </si>
  <si>
    <t>50,000원X4실X5박=</t>
    <phoneticPr fontId="2" type="noConversion"/>
  </si>
  <si>
    <t>3,000원X21명X5일=</t>
    <phoneticPr fontId="2" type="noConversion"/>
  </si>
  <si>
    <t>ㅇ심판특식비</t>
    <phoneticPr fontId="2" type="noConversion"/>
  </si>
  <si>
    <t>ㅇ매트설치비(9대분)</t>
    <phoneticPr fontId="2" type="noConversion"/>
  </si>
  <si>
    <t>198,000원X2대X2회=</t>
    <phoneticPr fontId="2" type="noConversion"/>
  </si>
  <si>
    <t>ㅇ사인라켓구입비</t>
    <phoneticPr fontId="2" type="noConversion"/>
  </si>
  <si>
    <t>33,000원X10개=</t>
    <phoneticPr fontId="2" type="noConversion"/>
  </si>
  <si>
    <t>ㅇ경품비</t>
    <phoneticPr fontId="2" type="noConversion"/>
  </si>
  <si>
    <t>1,000,000원X2일=</t>
    <phoneticPr fontId="2" type="noConversion"/>
  </si>
  <si>
    <t>400,000원X5일=</t>
    <phoneticPr fontId="2" type="noConversion"/>
  </si>
  <si>
    <t>50,000원X10실X5박=</t>
    <phoneticPr fontId="2" type="noConversion"/>
  </si>
  <si>
    <t>15,400원X300부=</t>
    <phoneticPr fontId="2" type="noConversion"/>
  </si>
  <si>
    <t>(용인)</t>
    <phoneticPr fontId="2" type="noConversion"/>
  </si>
  <si>
    <t>ㅇ심판수당(2차)</t>
    <phoneticPr fontId="2" type="noConversion"/>
  </si>
  <si>
    <t>30,000원X35명X4일=</t>
    <phoneticPr fontId="2" type="noConversion"/>
  </si>
  <si>
    <t>15,000원X35명X4일=</t>
    <phoneticPr fontId="2" type="noConversion"/>
  </si>
  <si>
    <t>ㅇ심판왕복여비</t>
    <phoneticPr fontId="2" type="noConversion"/>
  </si>
  <si>
    <t>50,000원X35명=</t>
    <phoneticPr fontId="2" type="noConversion"/>
  </si>
  <si>
    <t>3,000원X35명X4일=</t>
    <phoneticPr fontId="2" type="noConversion"/>
  </si>
  <si>
    <t>ㅇ용구운임</t>
    <phoneticPr fontId="2" type="noConversion"/>
  </si>
  <si>
    <t>660,000원X2회=</t>
    <phoneticPr fontId="2" type="noConversion"/>
  </si>
  <si>
    <t>30,000원X31명X4일=</t>
    <phoneticPr fontId="2" type="noConversion"/>
  </si>
  <si>
    <t>15,000원X31명X4일=</t>
    <phoneticPr fontId="2" type="noConversion"/>
  </si>
  <si>
    <t>3,000원X31명X4일=</t>
    <phoneticPr fontId="2" type="noConversion"/>
  </si>
  <si>
    <t>(2차/3차)</t>
    <phoneticPr fontId="2" type="noConversion"/>
  </si>
  <si>
    <t>ㅇ심판식대(2차)</t>
    <phoneticPr fontId="2" type="noConversion"/>
  </si>
  <si>
    <t>ㅇ심판간식비(2차)</t>
    <phoneticPr fontId="2" type="noConversion"/>
  </si>
  <si>
    <r>
      <rPr>
        <sz val="10"/>
        <color indexed="9"/>
        <rFont val="돋움"/>
        <family val="3"/>
        <charset val="129"/>
      </rPr>
      <t>ㅇ심판간식비</t>
    </r>
    <r>
      <rPr>
        <sz val="10"/>
        <rFont val="돋움"/>
        <family val="3"/>
        <charset val="129"/>
      </rPr>
      <t>(3차)</t>
    </r>
    <phoneticPr fontId="2" type="noConversion"/>
  </si>
  <si>
    <t>ㅇ심판숙박비(2차)</t>
    <phoneticPr fontId="2" type="noConversion"/>
  </si>
  <si>
    <r>
      <rPr>
        <sz val="10"/>
        <color indexed="9"/>
        <rFont val="돋움"/>
        <family val="3"/>
        <charset val="129"/>
      </rPr>
      <t>ㅇ심판숙박비</t>
    </r>
    <r>
      <rPr>
        <sz val="10"/>
        <rFont val="돋움"/>
        <family val="3"/>
        <charset val="129"/>
      </rPr>
      <t>(3차)</t>
    </r>
    <phoneticPr fontId="2" type="noConversion"/>
  </si>
  <si>
    <r>
      <rPr>
        <sz val="10"/>
        <color indexed="9"/>
        <rFont val="돋움"/>
        <family val="3"/>
        <charset val="129"/>
      </rPr>
      <t>ㅇ심판식대</t>
    </r>
    <r>
      <rPr>
        <sz val="10"/>
        <rFont val="돋움"/>
        <family val="3"/>
        <charset val="129"/>
      </rPr>
      <t>(3차)</t>
    </r>
    <phoneticPr fontId="2" type="noConversion"/>
  </si>
  <si>
    <t>400,000원X2회=</t>
    <phoneticPr fontId="2" type="noConversion"/>
  </si>
  <si>
    <t>ㅇ심판특식비(2/3차)</t>
    <phoneticPr fontId="2" type="noConversion"/>
  </si>
  <si>
    <t>2,000,000원X2회=</t>
    <phoneticPr fontId="2" type="noConversion"/>
  </si>
  <si>
    <t>평가전</t>
    <phoneticPr fontId="2" type="noConversion"/>
  </si>
  <si>
    <t>1,000,000원X3일=</t>
    <phoneticPr fontId="2" type="noConversion"/>
  </si>
  <si>
    <t>30,000원X27명X3일=</t>
    <phoneticPr fontId="2" type="noConversion"/>
  </si>
  <si>
    <t>3,000원X27명X3일=</t>
    <phoneticPr fontId="2" type="noConversion"/>
  </si>
  <si>
    <t>10,000원X27명X3일=</t>
    <phoneticPr fontId="2" type="noConversion"/>
  </si>
  <si>
    <t>ㅇ임원여비및활동비</t>
    <phoneticPr fontId="2" type="noConversion"/>
  </si>
  <si>
    <t>360,000원X2회=</t>
    <phoneticPr fontId="2" type="noConversion"/>
  </si>
  <si>
    <t>유니버시아드대표</t>
    <phoneticPr fontId="2" type="noConversion"/>
  </si>
  <si>
    <t>1,000,000원X4일=</t>
    <phoneticPr fontId="2" type="noConversion"/>
  </si>
  <si>
    <t>ㅇ간심판간식비</t>
    <phoneticPr fontId="2" type="noConversion"/>
  </si>
  <si>
    <t>30,000원X27일X4일=</t>
    <phoneticPr fontId="2" type="noConversion"/>
  </si>
  <si>
    <t>10,000원X27명X4일=</t>
    <phoneticPr fontId="2" type="noConversion"/>
  </si>
  <si>
    <t>3,000원X27명X4일=</t>
    <phoneticPr fontId="2" type="noConversion"/>
  </si>
  <si>
    <t>(아시아/세계)</t>
    <phoneticPr fontId="2" type="noConversion"/>
  </si>
  <si>
    <t>30,000원X35명X6일=</t>
    <phoneticPr fontId="2" type="noConversion"/>
  </si>
  <si>
    <t>30,000원X27명X6일=</t>
    <phoneticPr fontId="2" type="noConversion"/>
  </si>
  <si>
    <t>10,000원X35명X6일=</t>
    <phoneticPr fontId="2" type="noConversion"/>
  </si>
  <si>
    <t>10,000원X27명X6일=</t>
    <phoneticPr fontId="2" type="noConversion"/>
  </si>
  <si>
    <t>3,000원X35명X6일=</t>
    <phoneticPr fontId="2" type="noConversion"/>
  </si>
  <si>
    <t>3,000원X27명X6일=</t>
    <phoneticPr fontId="2" type="noConversion"/>
  </si>
  <si>
    <t>1,000,000원X12일=</t>
    <phoneticPr fontId="2" type="noConversion"/>
  </si>
  <si>
    <t>2,200,000원X2회=</t>
    <phoneticPr fontId="2" type="noConversion"/>
  </si>
  <si>
    <t>호프스대표</t>
    <phoneticPr fontId="2" type="noConversion"/>
  </si>
  <si>
    <t>30,000원X35명X3일=</t>
    <phoneticPr fontId="2" type="noConversion"/>
  </si>
  <si>
    <t>10,000원X35명X3일=</t>
    <phoneticPr fontId="2" type="noConversion"/>
  </si>
  <si>
    <t>3,000원X35명X3일=</t>
    <phoneticPr fontId="2" type="noConversion"/>
  </si>
  <si>
    <t>준우승 : 200,000원X10종목=</t>
    <phoneticPr fontId="2" type="noConversion"/>
  </si>
  <si>
    <r>
      <t>우</t>
    </r>
    <r>
      <rPr>
        <sz val="10"/>
        <color indexed="9"/>
        <rFont val="돋움"/>
        <family val="3"/>
        <charset val="129"/>
      </rPr>
      <t>준</t>
    </r>
    <r>
      <rPr>
        <sz val="10"/>
        <rFont val="돋움"/>
        <family val="3"/>
        <charset val="129"/>
      </rPr>
      <t>승 : 300,000원X10종목=</t>
    </r>
    <phoneticPr fontId="2" type="noConversion"/>
  </si>
  <si>
    <r>
      <t>우</t>
    </r>
    <r>
      <rPr>
        <sz val="10"/>
        <color indexed="9"/>
        <rFont val="돋움"/>
        <family val="3"/>
        <charset val="129"/>
      </rPr>
      <t>준</t>
    </r>
    <r>
      <rPr>
        <sz val="10"/>
        <rFont val="돋움"/>
        <family val="3"/>
        <charset val="129"/>
      </rPr>
      <t>승 : 110,000원X10종목=</t>
    </r>
    <phoneticPr fontId="2" type="noConversion"/>
  </si>
  <si>
    <r>
      <t xml:space="preserve">준우승 : </t>
    </r>
    <r>
      <rPr>
        <sz val="10"/>
        <color indexed="9"/>
        <rFont val="돋움"/>
        <family val="3"/>
        <charset val="129"/>
      </rPr>
      <t>1</t>
    </r>
    <r>
      <rPr>
        <sz val="10"/>
        <rFont val="돋움"/>
        <family val="3"/>
        <charset val="129"/>
      </rPr>
      <t>93,500원X10종목=</t>
    </r>
    <phoneticPr fontId="2" type="noConversion"/>
  </si>
  <si>
    <r>
      <t xml:space="preserve">3위 : </t>
    </r>
    <r>
      <rPr>
        <sz val="10"/>
        <color indexed="9"/>
        <rFont val="돋움"/>
        <family val="3"/>
        <charset val="129"/>
      </rPr>
      <t>1</t>
    </r>
    <r>
      <rPr>
        <sz val="10"/>
        <rFont val="돋움"/>
        <family val="3"/>
        <charset val="129"/>
      </rPr>
      <t>77,000원X20종목=</t>
    </r>
    <phoneticPr fontId="2" type="noConversion"/>
  </si>
  <si>
    <t>16,500원X120개=</t>
    <phoneticPr fontId="2" type="noConversion"/>
  </si>
  <si>
    <t>ㅇ감사패제작비</t>
    <phoneticPr fontId="2" type="noConversion"/>
  </si>
  <si>
    <t>165,000원X2개=</t>
    <phoneticPr fontId="2" type="noConversion"/>
  </si>
  <si>
    <t>150,000원X15명=</t>
    <phoneticPr fontId="2" type="noConversion"/>
  </si>
  <si>
    <t>7,080원X700부=</t>
    <phoneticPr fontId="2" type="noConversion"/>
  </si>
  <si>
    <t>ㅇ초청장</t>
    <phoneticPr fontId="2" type="noConversion"/>
  </si>
  <si>
    <t>2,200원X200장=</t>
    <phoneticPr fontId="2" type="noConversion"/>
  </si>
  <si>
    <t>ㅇ상장케이스</t>
    <phoneticPr fontId="2" type="noConversion"/>
  </si>
  <si>
    <t>3,630원X100개=</t>
    <phoneticPr fontId="2" type="noConversion"/>
  </si>
  <si>
    <t>ㅇ명패제작비</t>
    <phoneticPr fontId="2" type="noConversion"/>
  </si>
  <si>
    <t>16,500원X40개=</t>
    <phoneticPr fontId="2" type="noConversion"/>
  </si>
  <si>
    <t>ㅇ초등대표팀 체재비 보조</t>
    <phoneticPr fontId="2" type="noConversion"/>
  </si>
  <si>
    <t>500,000원X30팀=</t>
    <phoneticPr fontId="2" type="noConversion"/>
  </si>
  <si>
    <t>(1위: 220,000, 2위: 165,000, 3위: 100,000)</t>
    <phoneticPr fontId="2" type="noConversion"/>
  </si>
  <si>
    <t>우승 -110,000원X10종목=</t>
    <phoneticPr fontId="2" type="noConversion"/>
  </si>
  <si>
    <r>
      <t>준우승 -</t>
    </r>
    <r>
      <rPr>
        <sz val="10"/>
        <color indexed="9"/>
        <rFont val="돋움"/>
        <family val="3"/>
        <charset val="129"/>
      </rPr>
      <t>1</t>
    </r>
    <r>
      <rPr>
        <sz val="10"/>
        <rFont val="돋움"/>
        <family val="3"/>
        <charset val="129"/>
      </rPr>
      <t>93,500원X10종목=</t>
    </r>
    <phoneticPr fontId="2" type="noConversion"/>
  </si>
  <si>
    <r>
      <t>3위 -</t>
    </r>
    <r>
      <rPr>
        <sz val="10"/>
        <color indexed="9"/>
        <rFont val="돋움"/>
        <family val="3"/>
        <charset val="129"/>
      </rPr>
      <t>1</t>
    </r>
    <r>
      <rPr>
        <sz val="10"/>
        <rFont val="돋움"/>
        <family val="3"/>
        <charset val="129"/>
      </rPr>
      <t>77,000원X20종목=</t>
    </r>
    <phoneticPr fontId="2" type="noConversion"/>
  </si>
  <si>
    <t>ㅇ종별시상메달</t>
    <phoneticPr fontId="2" type="noConversion"/>
  </si>
  <si>
    <t>11,000원X400부=</t>
    <phoneticPr fontId="2" type="noConversion"/>
  </si>
  <si>
    <t>16,500원X20개=</t>
    <phoneticPr fontId="2" type="noConversion"/>
  </si>
  <si>
    <t>30,000원X17명X4일=</t>
    <phoneticPr fontId="2" type="noConversion"/>
  </si>
  <si>
    <t>15,000원X17명X4일=</t>
    <phoneticPr fontId="2" type="noConversion"/>
  </si>
  <si>
    <t>50,000원X17명=</t>
    <phoneticPr fontId="2" type="noConversion"/>
  </si>
  <si>
    <t>40,000원X9실X4박=</t>
    <phoneticPr fontId="2" type="noConversion"/>
  </si>
  <si>
    <t>4,400원X150부=</t>
    <phoneticPr fontId="2" type="noConversion"/>
  </si>
  <si>
    <t>우승 - 110,000원X 8개=</t>
    <phoneticPr fontId="2" type="noConversion"/>
  </si>
  <si>
    <r>
      <t>준우승 -</t>
    </r>
    <r>
      <rPr>
        <sz val="10"/>
        <color indexed="9"/>
        <rFont val="돋움"/>
        <family val="3"/>
        <charset val="129"/>
      </rPr>
      <t>1</t>
    </r>
    <r>
      <rPr>
        <sz val="10"/>
        <rFont val="돋움"/>
        <family val="3"/>
        <charset val="129"/>
      </rPr>
      <t>93,500원X 8개=</t>
    </r>
    <phoneticPr fontId="2" type="noConversion"/>
  </si>
  <si>
    <r>
      <t>3위 -</t>
    </r>
    <r>
      <rPr>
        <sz val="10"/>
        <color indexed="9"/>
        <rFont val="돋움"/>
        <family val="3"/>
        <charset val="129"/>
      </rPr>
      <t>1</t>
    </r>
    <r>
      <rPr>
        <sz val="10"/>
        <rFont val="돋움"/>
        <family val="3"/>
        <charset val="129"/>
      </rPr>
      <t>77,000원X16개=</t>
    </r>
    <phoneticPr fontId="2" type="noConversion"/>
  </si>
  <si>
    <t>16,500원X32개=</t>
    <phoneticPr fontId="2" type="noConversion"/>
  </si>
  <si>
    <t>30,000원X15명X6일=</t>
    <phoneticPr fontId="2" type="noConversion"/>
  </si>
  <si>
    <t>15,000원X15명X6일=</t>
    <phoneticPr fontId="2" type="noConversion"/>
  </si>
  <si>
    <t>9,020원X500부=</t>
    <phoneticPr fontId="2" type="noConversion"/>
  </si>
  <si>
    <t>ㅇ상장제작비</t>
    <phoneticPr fontId="2" type="noConversion"/>
  </si>
  <si>
    <t>16,500원X30개=</t>
    <phoneticPr fontId="2" type="noConversion"/>
  </si>
  <si>
    <t>40,000원X8실X5박=</t>
    <phoneticPr fontId="2" type="noConversion"/>
  </si>
  <si>
    <t>60,000원X10실X5일=</t>
    <phoneticPr fontId="2" type="noConversion"/>
  </si>
  <si>
    <t>5,140원X150부=</t>
    <phoneticPr fontId="2" type="noConversion"/>
  </si>
  <si>
    <t>우승 - 165,000X2개=</t>
    <phoneticPr fontId="2" type="noConversion"/>
  </si>
  <si>
    <t>준우승 - 143,000X2개=</t>
    <phoneticPr fontId="2" type="noConversion"/>
  </si>
  <si>
    <t>3위 - 110,000X4개=</t>
    <phoneticPr fontId="2" type="noConversion"/>
  </si>
  <si>
    <t>24,200X32개=</t>
    <phoneticPr fontId="2" type="noConversion"/>
  </si>
  <si>
    <t>15,000원X7명X6일=</t>
    <phoneticPr fontId="2" type="noConversion"/>
  </si>
  <si>
    <t>12,840원X300부=</t>
    <phoneticPr fontId="2" type="noConversion"/>
  </si>
  <si>
    <t>ㅇ표지사진구입비</t>
    <phoneticPr fontId="2" type="noConversion"/>
  </si>
  <si>
    <t>ㅇ경품권인쇄</t>
    <phoneticPr fontId="2" type="noConversion"/>
  </si>
  <si>
    <t>360,000원X2회=</t>
    <phoneticPr fontId="2" type="noConversion"/>
  </si>
  <si>
    <t>50,000원X10실X5일=</t>
    <phoneticPr fontId="2" type="noConversion"/>
  </si>
  <si>
    <t>ㅇ월간탁구</t>
    <phoneticPr fontId="2" type="noConversion"/>
  </si>
  <si>
    <t>2,000,000원X12개월=</t>
    <phoneticPr fontId="2" type="noConversion"/>
  </si>
  <si>
    <t>ㅇ심판장비지원비(100분)</t>
    <phoneticPr fontId="2" type="noConversion"/>
  </si>
  <si>
    <t>워크샵</t>
    <phoneticPr fontId="2" type="noConversion"/>
  </si>
  <si>
    <t>ㅇ2008워크샵</t>
    <phoneticPr fontId="2" type="noConversion"/>
  </si>
  <si>
    <t>50,000원X10명X70일=</t>
    <phoneticPr fontId="2" type="noConversion"/>
  </si>
  <si>
    <t>4,000원X24명X70일=</t>
    <phoneticPr fontId="2" type="noConversion"/>
  </si>
  <si>
    <t>4,000원X34명X70일=</t>
    <phoneticPr fontId="2" type="noConversion"/>
  </si>
  <si>
    <t>1,500,000원X4회=</t>
    <phoneticPr fontId="2" type="noConversion"/>
  </si>
  <si>
    <t>ㅇ유니폼마크제작비</t>
    <phoneticPr fontId="2" type="noConversion"/>
  </si>
  <si>
    <t>30,000원X20명X140일=</t>
    <phoneticPr fontId="2" type="noConversion"/>
  </si>
  <si>
    <t>ㅇ선수수당(국고분)</t>
    <phoneticPr fontId="2" type="noConversion"/>
  </si>
  <si>
    <r>
      <rPr>
        <sz val="10"/>
        <color indexed="9"/>
        <rFont val="돋움"/>
        <family val="3"/>
        <charset val="129"/>
      </rPr>
      <t>ㅇ선수수당</t>
    </r>
    <r>
      <rPr>
        <sz val="10"/>
        <rFont val="돋움"/>
        <family val="3"/>
        <charset val="129"/>
      </rPr>
      <t>(자체분)</t>
    </r>
    <phoneticPr fontId="2" type="noConversion"/>
  </si>
  <si>
    <t>30,000원X10명X70일=</t>
    <phoneticPr fontId="2" type="noConversion"/>
  </si>
  <si>
    <t>3,500,000원X1명X6개월=</t>
    <phoneticPr fontId="2" type="noConversion"/>
  </si>
  <si>
    <t>3,300,000원X3명X6개월=</t>
    <phoneticPr fontId="2" type="noConversion"/>
  </si>
  <si>
    <t>ㅇ물리치료사수당</t>
    <phoneticPr fontId="2" type="noConversion"/>
  </si>
  <si>
    <t>ㅇ지도자및물리치료사4대보험료(2008년도)</t>
    <phoneticPr fontId="2" type="noConversion"/>
  </si>
  <si>
    <t>ㅇ지도자및물리치료사4대보험료(2009년도)</t>
    <phoneticPr fontId="2" type="noConversion"/>
  </si>
  <si>
    <t>100,000원X24명=</t>
    <phoneticPr fontId="2" type="noConversion"/>
  </si>
  <si>
    <t>20,000원X13명X10일=</t>
    <phoneticPr fontId="2" type="noConversion"/>
  </si>
  <si>
    <t>4,000원X13명X10일=</t>
    <phoneticPr fontId="2" type="noConversion"/>
  </si>
  <si>
    <t>숙박비</t>
    <phoneticPr fontId="2" type="noConversion"/>
  </si>
  <si>
    <t>40,000원X7실X9박=</t>
    <phoneticPr fontId="2" type="noConversion"/>
  </si>
  <si>
    <t>1,000,000원X3명=</t>
    <phoneticPr fontId="2" type="noConversion"/>
  </si>
  <si>
    <t>30,000원X13명X1회=</t>
    <phoneticPr fontId="2" type="noConversion"/>
  </si>
  <si>
    <t>400,000원X13명=</t>
    <phoneticPr fontId="2" type="noConversion"/>
  </si>
  <si>
    <t>$120X3명X5박X1,350원=</t>
    <phoneticPr fontId="2" type="noConversion"/>
  </si>
  <si>
    <t>$10X13명X6일X1,350원=</t>
    <phoneticPr fontId="2" type="noConversion"/>
  </si>
  <si>
    <t>꿈나무상비군</t>
    <phoneticPr fontId="2" type="noConversion"/>
  </si>
  <si>
    <t>중국전지훈련</t>
    <phoneticPr fontId="2" type="noConversion"/>
  </si>
  <si>
    <t>ㅇ항공료</t>
  </si>
  <si>
    <t>404,300원X 3명=</t>
  </si>
  <si>
    <t>356,800원X16명=</t>
  </si>
  <si>
    <t>ㅇ체재비</t>
  </si>
  <si>
    <t>$55X19명X10일X1,300원=</t>
  </si>
  <si>
    <t>ㅇ현지픽업비용</t>
  </si>
  <si>
    <t>422,000원X2회=</t>
  </si>
  <si>
    <t>ㅇ간식비</t>
  </si>
  <si>
    <t>$10X19명X11일X1,300원=</t>
  </si>
  <si>
    <t>ㅇ지도자수당</t>
  </si>
  <si>
    <t>1,000,000원X3명=</t>
  </si>
  <si>
    <t>ㅇ비자발급비</t>
  </si>
  <si>
    <t>21,000원X19명=</t>
  </si>
  <si>
    <t>ㅇ파카 구입비</t>
  </si>
  <si>
    <t>65,000원X19명=</t>
  </si>
  <si>
    <t>ㅇ마크제작비</t>
  </si>
  <si>
    <t>5,500원X3장X19명=</t>
  </si>
  <si>
    <t>(중국,칭다오)</t>
    <phoneticPr fontId="2" type="noConversion"/>
  </si>
  <si>
    <r>
      <rPr>
        <sz val="10"/>
        <color indexed="9"/>
        <rFont val="돋움"/>
        <family val="3"/>
        <charset val="129"/>
      </rPr>
      <t>ㅇ임원단</t>
    </r>
    <r>
      <rPr>
        <sz val="10"/>
        <rFont val="돋움"/>
        <family val="3"/>
        <charset val="129"/>
      </rPr>
      <t xml:space="preserve"> - 더블룸</t>
    </r>
    <phoneticPr fontId="2" type="noConversion"/>
  </si>
  <si>
    <r>
      <rPr>
        <sz val="10"/>
        <color indexed="9"/>
        <rFont val="돋움"/>
        <family val="3"/>
        <charset val="129"/>
      </rPr>
      <t>ㅇ선수단</t>
    </r>
    <r>
      <rPr>
        <sz val="10"/>
        <rFont val="돋움"/>
        <family val="3"/>
        <charset val="129"/>
      </rPr>
      <t xml:space="preserve"> - 더블룸</t>
    </r>
    <phoneticPr fontId="2" type="noConversion"/>
  </si>
  <si>
    <r>
      <rPr>
        <sz val="10"/>
        <color indexed="9"/>
        <rFont val="돋움"/>
        <family val="3"/>
        <charset val="129"/>
      </rPr>
      <t>ㅇ선수단</t>
    </r>
    <r>
      <rPr>
        <sz val="10"/>
        <rFont val="돋움"/>
        <family val="3"/>
        <charset val="129"/>
      </rPr>
      <t xml:space="preserve"> - 개최국 지원</t>
    </r>
    <phoneticPr fontId="2" type="noConversion"/>
  </si>
  <si>
    <r>
      <t>코치 : 180유로X</t>
    </r>
    <r>
      <rPr>
        <sz val="10"/>
        <color indexed="9"/>
        <rFont val="돋움"/>
        <family val="3"/>
        <charset val="129"/>
      </rPr>
      <t>1</t>
    </r>
    <r>
      <rPr>
        <sz val="10"/>
        <rFont val="돋움"/>
        <family val="3"/>
        <charset val="129"/>
      </rPr>
      <t>4명X11박X1,740원=</t>
    </r>
    <phoneticPr fontId="2" type="noConversion"/>
  </si>
  <si>
    <r>
      <t xml:space="preserve">              물리치료사 : 180유로X</t>
    </r>
    <r>
      <rPr>
        <sz val="8"/>
        <color indexed="9"/>
        <rFont val="돋움"/>
        <family val="3"/>
        <charset val="129"/>
      </rPr>
      <t>1</t>
    </r>
    <r>
      <rPr>
        <sz val="8"/>
        <rFont val="돋움"/>
        <family val="3"/>
        <charset val="129"/>
      </rPr>
      <t>1명X11박X1,740원=</t>
    </r>
    <phoneticPr fontId="2" type="noConversion"/>
  </si>
  <si>
    <t>2,343,100원X16명=</t>
    <phoneticPr fontId="2" type="noConversion"/>
  </si>
  <si>
    <t>120유로X6명X13박X1,740원=</t>
    <phoneticPr fontId="2" type="noConversion"/>
  </si>
  <si>
    <t>$10X16명X14일X1,350원=</t>
    <phoneticPr fontId="2" type="noConversion"/>
  </si>
  <si>
    <t>2,000,000원X7개월=</t>
    <phoneticPr fontId="2" type="noConversion"/>
  </si>
  <si>
    <t>유니버시아드</t>
    <phoneticPr fontId="2" type="noConversion"/>
  </si>
  <si>
    <t>ㅇ급식비</t>
    <phoneticPr fontId="2" type="noConversion"/>
  </si>
  <si>
    <t>ㅇ용구구입비</t>
    <phoneticPr fontId="2" type="noConversion"/>
  </si>
  <si>
    <t>30,000원X13명=</t>
    <phoneticPr fontId="2" type="noConversion"/>
  </si>
  <si>
    <t>ㅇ교통비</t>
  </si>
  <si>
    <t>20,000원X15명X20일=</t>
    <phoneticPr fontId="2" type="noConversion"/>
  </si>
  <si>
    <t>4,000원X15명X20일=</t>
    <phoneticPr fontId="2" type="noConversion"/>
  </si>
  <si>
    <t>500,000원X4회=</t>
    <phoneticPr fontId="2" type="noConversion"/>
  </si>
  <si>
    <t>ㅇ숙박비</t>
    <phoneticPr fontId="2" type="noConversion"/>
  </si>
  <si>
    <t>40,000원X8실X18박=</t>
    <phoneticPr fontId="2" type="noConversion"/>
  </si>
  <si>
    <t>1,000,000원X3명X2회=</t>
    <phoneticPr fontId="2" type="noConversion"/>
  </si>
  <si>
    <t>30,000원X15명X2회=</t>
    <phoneticPr fontId="2" type="noConversion"/>
  </si>
  <si>
    <t>20,000원X35명X40일=</t>
    <phoneticPr fontId="2" type="noConversion"/>
  </si>
  <si>
    <t>4,000원X35명X40일=</t>
    <phoneticPr fontId="2" type="noConversion"/>
  </si>
  <si>
    <t>1,000,000원X4회=</t>
    <phoneticPr fontId="2" type="noConversion"/>
  </si>
  <si>
    <t>40,000원X18실X36박=</t>
    <phoneticPr fontId="2" type="noConversion"/>
  </si>
  <si>
    <t>1,500,000원X1명X4회=</t>
    <phoneticPr fontId="2" type="noConversion"/>
  </si>
  <si>
    <t>1,000,000원X4명X4회=</t>
    <phoneticPr fontId="2" type="noConversion"/>
  </si>
  <si>
    <t>ㅇ교통비</t>
    <phoneticPr fontId="2" type="noConversion"/>
  </si>
  <si>
    <t>30,000원X35명X4회=</t>
    <phoneticPr fontId="2" type="noConversion"/>
  </si>
  <si>
    <t>380,000원X13명=</t>
    <phoneticPr fontId="2" type="noConversion"/>
  </si>
  <si>
    <t>$60X13명X13박X1,350원=</t>
    <phoneticPr fontId="2" type="noConversion"/>
  </si>
  <si>
    <t>$10X13명X14일X1,350원=</t>
    <phoneticPr fontId="2" type="noConversion"/>
  </si>
  <si>
    <t>ㅇ여행자보험료</t>
    <phoneticPr fontId="2" type="noConversion"/>
  </si>
  <si>
    <t>10,000원X13명=</t>
    <phoneticPr fontId="2" type="noConversion"/>
  </si>
  <si>
    <t>(임원,기자,국제심판)            582,250원X19명=</t>
    <phoneticPr fontId="2" type="noConversion"/>
  </si>
  <si>
    <t>40,000원X18일X4박=</t>
    <phoneticPr fontId="2" type="noConversion"/>
  </si>
  <si>
    <t>40,000원X16실X5박=</t>
    <phoneticPr fontId="2" type="noConversion"/>
  </si>
  <si>
    <t>50,000원X8실X4박X2회=</t>
    <phoneticPr fontId="2" type="noConversion"/>
  </si>
  <si>
    <t>50,000원X4실X3박=</t>
    <phoneticPr fontId="2" type="noConversion"/>
  </si>
  <si>
    <t>50,000원X4실X4박=</t>
    <phoneticPr fontId="2" type="noConversion"/>
  </si>
  <si>
    <t>50,000원X4실X6박X2회=</t>
    <phoneticPr fontId="2" type="noConversion"/>
  </si>
  <si>
    <t>40,000원X8실X7박=</t>
    <phoneticPr fontId="2" type="noConversion"/>
  </si>
  <si>
    <t>50,000원X10실X7박=</t>
    <phoneticPr fontId="2" type="noConversion"/>
  </si>
  <si>
    <t>40,000원X10실X6박=</t>
    <phoneticPr fontId="2" type="noConversion"/>
  </si>
  <si>
    <t>60,000원X10실X4박=</t>
    <phoneticPr fontId="2" type="noConversion"/>
  </si>
  <si>
    <t>40,000원X8실X6박=</t>
    <phoneticPr fontId="2" type="noConversion"/>
  </si>
  <si>
    <t>50,000원X10실X6박=</t>
    <phoneticPr fontId="2" type="noConversion"/>
  </si>
  <si>
    <t>50,000원X4실X5박=</t>
    <phoneticPr fontId="2" type="noConversion"/>
  </si>
  <si>
    <t>1,000,000원X12개월=</t>
    <phoneticPr fontId="2" type="noConversion"/>
  </si>
  <si>
    <t>$122,000X1,350원=</t>
    <phoneticPr fontId="2" type="noConversion"/>
  </si>
  <si>
    <t>198,000원X6개=</t>
    <phoneticPr fontId="2" type="noConversion"/>
  </si>
  <si>
    <t>ㅇ한국선수단   (체재비)</t>
    <phoneticPr fontId="2" type="noConversion"/>
  </si>
  <si>
    <t>100,000원X25명X5박=</t>
    <phoneticPr fontId="2" type="noConversion"/>
  </si>
  <si>
    <t>4,000원X25명X5일=</t>
    <phoneticPr fontId="2" type="noConversion"/>
  </si>
  <si>
    <t xml:space="preserve">                    (특식비)</t>
    <phoneticPr fontId="2" type="noConversion"/>
  </si>
  <si>
    <t>30,000원X50명X5일=</t>
    <phoneticPr fontId="2" type="noConversion"/>
  </si>
  <si>
    <t>15,000원X50명X5일=</t>
    <phoneticPr fontId="2" type="noConversion"/>
  </si>
  <si>
    <t>ㅇ심판여비</t>
    <phoneticPr fontId="2" type="noConversion"/>
  </si>
  <si>
    <t>50,000원X50명=</t>
    <phoneticPr fontId="2" type="noConversion"/>
  </si>
  <si>
    <t>ㅇ심판숙박</t>
    <phoneticPr fontId="2" type="noConversion"/>
  </si>
  <si>
    <t>40,000원X25실X5일=</t>
    <phoneticPr fontId="2" type="noConversion"/>
  </si>
  <si>
    <t>ㅇ외국국제심판수당</t>
    <phoneticPr fontId="2" type="noConversion"/>
  </si>
  <si>
    <t>$20X5명X5일X1,350원=</t>
    <phoneticPr fontId="2" type="noConversion"/>
  </si>
  <si>
    <t>120,000원X5일X5박=</t>
    <phoneticPr fontId="2" type="noConversion"/>
  </si>
  <si>
    <t>ㅇ레프리.감독관체재비</t>
    <phoneticPr fontId="2" type="noConversion"/>
  </si>
  <si>
    <t>120,000원X3실X5일=</t>
    <phoneticPr fontId="2" type="noConversion"/>
  </si>
  <si>
    <t>ㅇ레프리항공료</t>
    <phoneticPr fontId="2" type="noConversion"/>
  </si>
  <si>
    <t>$400X1,350원=</t>
    <phoneticPr fontId="2" type="noConversion"/>
  </si>
  <si>
    <t>ㅇ레프리.감독관활동비</t>
    <phoneticPr fontId="2" type="noConversion"/>
  </si>
  <si>
    <t>$500X3명X1,350원=</t>
    <phoneticPr fontId="2" type="noConversion"/>
  </si>
  <si>
    <t>3,170원X300부=</t>
    <phoneticPr fontId="2" type="noConversion"/>
  </si>
  <si>
    <t>7,260원X500부=</t>
    <phoneticPr fontId="2" type="noConversion"/>
  </si>
  <si>
    <t>ㅇ포스터제작비</t>
    <phoneticPr fontId="2" type="noConversion"/>
  </si>
  <si>
    <t>4,950원X400부=</t>
    <phoneticPr fontId="2" type="noConversion"/>
  </si>
  <si>
    <t>ㅇ표지및포스터사진</t>
    <phoneticPr fontId="2" type="noConversion"/>
  </si>
  <si>
    <t>ㅇID카드</t>
    <phoneticPr fontId="2" type="noConversion"/>
  </si>
  <si>
    <t>1,400원X550부=</t>
    <phoneticPr fontId="2" type="noConversion"/>
  </si>
  <si>
    <t>ㅇ시상금 및 공항티켓</t>
    <phoneticPr fontId="2" type="noConversion"/>
  </si>
  <si>
    <t>82,500원X8개=</t>
    <phoneticPr fontId="2" type="noConversion"/>
  </si>
  <si>
    <t>ㅇ오다지</t>
    <phoneticPr fontId="2" type="noConversion"/>
  </si>
  <si>
    <t>2,120원X400장=</t>
    <phoneticPr fontId="2" type="noConversion"/>
  </si>
  <si>
    <t>ㅇ드로우전지출력</t>
    <phoneticPr fontId="2" type="noConversion"/>
  </si>
  <si>
    <t>ㅇ행사차량 명패</t>
    <phoneticPr fontId="2" type="noConversion"/>
  </si>
  <si>
    <t>ㅇ중계용펜스제작비</t>
    <phoneticPr fontId="2" type="noConversion"/>
  </si>
  <si>
    <t>ㅇ펜스로고</t>
    <phoneticPr fontId="2" type="noConversion"/>
  </si>
  <si>
    <t>ㅇ펜스제작비</t>
    <phoneticPr fontId="2" type="noConversion"/>
  </si>
  <si>
    <t>55,000원X200개=</t>
    <phoneticPr fontId="2" type="noConversion"/>
  </si>
  <si>
    <t>100,000원X30명=</t>
    <phoneticPr fontId="2" type="noConversion"/>
  </si>
  <si>
    <t>5,000원X12식X30명=</t>
    <phoneticPr fontId="2" type="noConversion"/>
  </si>
  <si>
    <t>40,000원X15실X5일=</t>
    <phoneticPr fontId="2" type="noConversion"/>
  </si>
  <si>
    <t>400,000원X5일X3명=</t>
    <phoneticPr fontId="2" type="noConversion"/>
  </si>
  <si>
    <t>50,000원X5실X4박=</t>
    <phoneticPr fontId="2" type="noConversion"/>
  </si>
  <si>
    <t>섭외비</t>
    <phoneticPr fontId="2" type="noConversion"/>
  </si>
  <si>
    <t>ㅇ선물구입비</t>
    <phoneticPr fontId="2" type="noConversion"/>
  </si>
  <si>
    <t>급여비</t>
    <phoneticPr fontId="2" type="noConversion"/>
  </si>
  <si>
    <t>기본급</t>
    <phoneticPr fontId="2" type="noConversion"/>
  </si>
  <si>
    <t>ㅇ사무차장</t>
    <phoneticPr fontId="2" type="noConversion"/>
  </si>
  <si>
    <t>ㅇ과      장</t>
    <phoneticPr fontId="2" type="noConversion"/>
  </si>
  <si>
    <t>ㅇ대      리</t>
    <phoneticPr fontId="2" type="noConversion"/>
  </si>
  <si>
    <t>ㅇ직      원</t>
    <phoneticPr fontId="2" type="noConversion"/>
  </si>
  <si>
    <t>직무수당</t>
    <phoneticPr fontId="2" type="noConversion"/>
  </si>
  <si>
    <t>경력수당</t>
    <phoneticPr fontId="2" type="noConversion"/>
  </si>
  <si>
    <t>시간외근로수당</t>
    <phoneticPr fontId="2" type="noConversion"/>
  </si>
  <si>
    <t>중식비</t>
    <phoneticPr fontId="2" type="noConversion"/>
  </si>
  <si>
    <t xml:space="preserve">ㅇ중식비 </t>
    <phoneticPr fontId="2" type="noConversion"/>
  </si>
  <si>
    <t>통근비</t>
    <phoneticPr fontId="2" type="noConversion"/>
  </si>
  <si>
    <t>ㅇ통근비</t>
    <phoneticPr fontId="2" type="noConversion"/>
  </si>
  <si>
    <t>차량유지비</t>
    <phoneticPr fontId="2" type="noConversion"/>
  </si>
  <si>
    <t>ㅇ차량유지비</t>
    <phoneticPr fontId="2" type="noConversion"/>
  </si>
  <si>
    <t>복리후생비</t>
    <phoneticPr fontId="2" type="noConversion"/>
  </si>
  <si>
    <t>국민연금</t>
    <phoneticPr fontId="2" type="noConversion"/>
  </si>
  <si>
    <t>ㅇ국민연금</t>
    <phoneticPr fontId="2" type="noConversion"/>
  </si>
  <si>
    <t>의료보험료</t>
    <phoneticPr fontId="2" type="noConversion"/>
  </si>
  <si>
    <t>ㅇ의료보험</t>
    <phoneticPr fontId="2" type="noConversion"/>
  </si>
  <si>
    <t>고용/산재보험료</t>
    <phoneticPr fontId="2" type="noConversion"/>
  </si>
  <si>
    <t>ㅇ'07확정/'08개산 고용,산재보험</t>
    <phoneticPr fontId="2" type="noConversion"/>
  </si>
  <si>
    <t>퇴직금적립</t>
    <phoneticPr fontId="2" type="noConversion"/>
  </si>
  <si>
    <t>ㅇ퇴직금적립</t>
    <phoneticPr fontId="2" type="noConversion"/>
  </si>
  <si>
    <t>연수회비</t>
    <phoneticPr fontId="2" type="noConversion"/>
  </si>
  <si>
    <t>ㅇ직원연수회비</t>
    <phoneticPr fontId="2" type="noConversion"/>
  </si>
  <si>
    <t>220,000원X4명X12월=</t>
    <phoneticPr fontId="2" type="noConversion"/>
  </si>
  <si>
    <t>110,000원X1명X12월=</t>
    <phoneticPr fontId="2" type="noConversion"/>
  </si>
  <si>
    <t>110,000원X5명X12월=</t>
    <phoneticPr fontId="2" type="noConversion"/>
  </si>
  <si>
    <t>1,191,467원X12월=</t>
    <phoneticPr fontId="2" type="noConversion"/>
  </si>
  <si>
    <t>611,159원X12월=</t>
    <phoneticPr fontId="2" type="noConversion"/>
  </si>
  <si>
    <t>1,417,677원X12월=</t>
    <phoneticPr fontId="2" type="noConversion"/>
  </si>
  <si>
    <t>885,041원X12월=</t>
    <phoneticPr fontId="2" type="noConversion"/>
  </si>
  <si>
    <t>815,329원X12월=</t>
    <phoneticPr fontId="2" type="noConversion"/>
  </si>
  <si>
    <t>515,331원X12월=</t>
    <phoneticPr fontId="2" type="noConversion"/>
  </si>
  <si>
    <t>446,012원X12월=</t>
    <phoneticPr fontId="2" type="noConversion"/>
  </si>
  <si>
    <t>397,039원X12월=</t>
    <phoneticPr fontId="2" type="noConversion"/>
  </si>
  <si>
    <t>1,466,781원X12월=</t>
    <phoneticPr fontId="2" type="noConversion"/>
  </si>
  <si>
    <t>1,104,280원X12월=</t>
    <phoneticPr fontId="2" type="noConversion"/>
  </si>
  <si>
    <t>433,623원X12월=</t>
    <phoneticPr fontId="2" type="noConversion"/>
  </si>
  <si>
    <t>186,112원X12월=</t>
    <phoneticPr fontId="2" type="noConversion"/>
  </si>
  <si>
    <t>415,799원X12월=</t>
    <phoneticPr fontId="2" type="noConversion"/>
  </si>
  <si>
    <t>229,990원X12월=</t>
    <phoneticPr fontId="2" type="noConversion"/>
  </si>
  <si>
    <t>177,269원X12월=</t>
    <phoneticPr fontId="2" type="noConversion"/>
  </si>
  <si>
    <t>342,256원X12월=</t>
    <phoneticPr fontId="2" type="noConversion"/>
  </si>
  <si>
    <t>학자금보조</t>
    <phoneticPr fontId="2" type="noConversion"/>
  </si>
  <si>
    <t>ㅇ학자금보조</t>
    <phoneticPr fontId="2" type="noConversion"/>
  </si>
  <si>
    <t>500,000원X4분기=</t>
    <phoneticPr fontId="2" type="noConversion"/>
  </si>
  <si>
    <t>2008 결산</t>
    <phoneticPr fontId="2" type="noConversion"/>
  </si>
  <si>
    <t>비고</t>
    <phoneticPr fontId="2" type="noConversion"/>
  </si>
  <si>
    <t>운반보관료</t>
    <phoneticPr fontId="2" type="noConversion"/>
  </si>
  <si>
    <t>상여금</t>
    <phoneticPr fontId="2" type="noConversion"/>
  </si>
  <si>
    <t>아르바이트</t>
    <phoneticPr fontId="2" type="noConversion"/>
  </si>
  <si>
    <t>하계휴가비</t>
    <phoneticPr fontId="2" type="noConversion"/>
  </si>
  <si>
    <t>명절상여금</t>
    <phoneticPr fontId="2" type="noConversion"/>
  </si>
  <si>
    <r>
      <rPr>
        <sz val="10"/>
        <color indexed="9"/>
        <rFont val="돋움"/>
        <family val="3"/>
        <charset val="129"/>
      </rPr>
      <t>ㅇ심판수당</t>
    </r>
    <r>
      <rPr>
        <sz val="10"/>
        <rFont val="돋움"/>
        <family val="3"/>
        <charset val="129"/>
      </rPr>
      <t>(3차)</t>
    </r>
    <phoneticPr fontId="2" type="noConversion"/>
  </si>
  <si>
    <t>불우이웃</t>
    <phoneticPr fontId="2" type="noConversion"/>
  </si>
  <si>
    <t>자선탁구축제</t>
    <phoneticPr fontId="2" type="noConversion"/>
  </si>
  <si>
    <t>ㅇ등명찰제작비</t>
    <phoneticPr fontId="2" type="noConversion"/>
  </si>
  <si>
    <t>660원X370개=</t>
    <phoneticPr fontId="2" type="noConversion"/>
  </si>
  <si>
    <t>ㅇ심판진(식사비)</t>
    <phoneticPr fontId="2" type="noConversion"/>
  </si>
  <si>
    <t>ㅇ상장케이스 제작비</t>
    <phoneticPr fontId="2" type="noConversion"/>
  </si>
  <si>
    <t>ㅇ급식비</t>
    <phoneticPr fontId="2" type="noConversion"/>
  </si>
  <si>
    <t>ㅇ식음료대</t>
    <phoneticPr fontId="2" type="noConversion"/>
  </si>
  <si>
    <t>ㅇ파이텍스</t>
    <phoneticPr fontId="2" type="noConversion"/>
  </si>
  <si>
    <t>ㅇ음향시스템</t>
    <phoneticPr fontId="2" type="noConversion"/>
  </si>
  <si>
    <t>ㅇ렌탈비용</t>
    <phoneticPr fontId="2" type="noConversion"/>
  </si>
  <si>
    <t>ㅇ문구구입</t>
    <phoneticPr fontId="2" type="noConversion"/>
  </si>
  <si>
    <t>ㅇ토너구입비</t>
    <phoneticPr fontId="2" type="noConversion"/>
  </si>
  <si>
    <t>ㅇ교통비 및 활동비</t>
    <phoneticPr fontId="2" type="noConversion"/>
  </si>
  <si>
    <t>ㅇ운임비</t>
    <phoneticPr fontId="2" type="noConversion"/>
  </si>
  <si>
    <t>ㅇ츄리닝 구입비</t>
    <phoneticPr fontId="2" type="noConversion"/>
  </si>
  <si>
    <t>ㅇ홈페이지 연계 작업</t>
    <phoneticPr fontId="2" type="noConversion"/>
  </si>
  <si>
    <t>급식비</t>
    <phoneticPr fontId="2" type="noConversion"/>
  </si>
  <si>
    <t>홍보비</t>
    <phoneticPr fontId="2" type="noConversion"/>
  </si>
  <si>
    <t>인쇄비</t>
    <phoneticPr fontId="2" type="noConversion"/>
  </si>
  <si>
    <t>촌외훈련비</t>
    <phoneticPr fontId="2" type="noConversion"/>
  </si>
  <si>
    <t>싱가폴오픈</t>
    <phoneticPr fontId="2" type="noConversion"/>
  </si>
  <si>
    <t>(싱가폴)</t>
    <phoneticPr fontId="2" type="noConversion"/>
  </si>
  <si>
    <t>브라질.칠레</t>
    <phoneticPr fontId="2" type="noConversion"/>
  </si>
  <si>
    <t>(브라질.칠레)</t>
    <phoneticPr fontId="2" type="noConversion"/>
  </si>
  <si>
    <t>임차료</t>
    <phoneticPr fontId="2" type="noConversion"/>
  </si>
  <si>
    <t>부식비</t>
    <phoneticPr fontId="2" type="noConversion"/>
  </si>
  <si>
    <t>통역비</t>
    <phoneticPr fontId="2" type="noConversion"/>
  </si>
  <si>
    <t>일비/간식비</t>
    <phoneticPr fontId="2" type="noConversion"/>
  </si>
  <si>
    <t>주차비</t>
    <phoneticPr fontId="2" type="noConversion"/>
  </si>
  <si>
    <t>주니어전지훈련</t>
    <phoneticPr fontId="2" type="noConversion"/>
  </si>
  <si>
    <t>(일본/기츠키)</t>
    <phoneticPr fontId="2" type="noConversion"/>
  </si>
  <si>
    <t>서일본대회</t>
    <phoneticPr fontId="2" type="noConversion"/>
  </si>
  <si>
    <t>아시아유소년</t>
    <phoneticPr fontId="2" type="noConversion"/>
  </si>
  <si>
    <t>베이징사전답사</t>
    <phoneticPr fontId="2" type="noConversion"/>
  </si>
  <si>
    <t>등록비반환</t>
    <phoneticPr fontId="2" type="noConversion"/>
  </si>
  <si>
    <t>사무국급여</t>
    <phoneticPr fontId="2" type="noConversion"/>
  </si>
  <si>
    <t>계</t>
    <phoneticPr fontId="2" type="noConversion"/>
  </si>
  <si>
    <t>소계</t>
    <phoneticPr fontId="2" type="noConversion"/>
  </si>
  <si>
    <t>퇴직충당금</t>
    <phoneticPr fontId="2" type="noConversion"/>
  </si>
  <si>
    <t>증감율</t>
    <phoneticPr fontId="2" type="noConversion"/>
  </si>
  <si>
    <t>과  목</t>
    <phoneticPr fontId="2" type="noConversion"/>
  </si>
  <si>
    <t>(단위:원)</t>
    <phoneticPr fontId="2" type="noConversion"/>
  </si>
  <si>
    <t>예산 대비 증감</t>
    <phoneticPr fontId="2" type="noConversion"/>
  </si>
  <si>
    <t>전기 이월</t>
  </si>
  <si>
    <t>찬조금</t>
  </si>
  <si>
    <t>공인료</t>
  </si>
  <si>
    <t>차기이월</t>
    <phoneticPr fontId="2" type="noConversion"/>
  </si>
  <si>
    <t>건강보험료</t>
    <phoneticPr fontId="2" type="noConversion"/>
  </si>
  <si>
    <t xml:space="preserve"> </t>
    <phoneticPr fontId="2" type="noConversion"/>
  </si>
  <si>
    <t>(단위:원)</t>
    <phoneticPr fontId="2" type="noConversion"/>
  </si>
  <si>
    <t>구  분</t>
    <phoneticPr fontId="2" type="noConversion"/>
  </si>
  <si>
    <t>증감액</t>
    <phoneticPr fontId="2" type="noConversion"/>
  </si>
  <si>
    <t>증감율</t>
    <phoneticPr fontId="2" type="noConversion"/>
  </si>
  <si>
    <t>점유율</t>
    <phoneticPr fontId="2" type="noConversion"/>
  </si>
  <si>
    <t>수입</t>
    <phoneticPr fontId="2" type="noConversion"/>
  </si>
  <si>
    <t>국고 보조금</t>
    <phoneticPr fontId="2" type="noConversion"/>
  </si>
  <si>
    <t>공단 보조금</t>
    <phoneticPr fontId="2" type="noConversion"/>
  </si>
  <si>
    <t>사업 수입</t>
    <phoneticPr fontId="2" type="noConversion"/>
  </si>
  <si>
    <t>이자 수입</t>
    <phoneticPr fontId="2" type="noConversion"/>
  </si>
  <si>
    <t>기타 수입</t>
    <phoneticPr fontId="2" type="noConversion"/>
  </si>
  <si>
    <t>합계</t>
    <phoneticPr fontId="2" type="noConversion"/>
  </si>
  <si>
    <t>지출</t>
    <phoneticPr fontId="2" type="noConversion"/>
  </si>
  <si>
    <t>운영비</t>
    <phoneticPr fontId="2" type="noConversion"/>
  </si>
  <si>
    <t>국내 대회비</t>
    <phoneticPr fontId="2" type="noConversion"/>
  </si>
  <si>
    <t>차기이월</t>
    <phoneticPr fontId="2" type="noConversion"/>
  </si>
  <si>
    <t>과  목</t>
    <phoneticPr fontId="2" type="noConversion"/>
  </si>
  <si>
    <t>예산 대비 증감</t>
    <phoneticPr fontId="2" type="noConversion"/>
  </si>
  <si>
    <t>관</t>
    <phoneticPr fontId="2" type="noConversion"/>
  </si>
  <si>
    <t>항</t>
    <phoneticPr fontId="2" type="noConversion"/>
  </si>
  <si>
    <t>목</t>
    <phoneticPr fontId="2" type="noConversion"/>
  </si>
  <si>
    <t>전기이월</t>
    <phoneticPr fontId="2" type="noConversion"/>
  </si>
  <si>
    <t>찬조금</t>
    <phoneticPr fontId="2" type="noConversion"/>
  </si>
  <si>
    <t>보조금</t>
    <phoneticPr fontId="2" type="noConversion"/>
  </si>
  <si>
    <t>소계</t>
    <phoneticPr fontId="2" type="noConversion"/>
  </si>
  <si>
    <t>국고</t>
    <phoneticPr fontId="2" type="noConversion"/>
  </si>
  <si>
    <t>계</t>
    <phoneticPr fontId="2" type="noConversion"/>
  </si>
  <si>
    <t>급여 보조</t>
    <phoneticPr fontId="2" type="noConversion"/>
  </si>
  <si>
    <t>행정 보조</t>
    <phoneticPr fontId="2" type="noConversion"/>
  </si>
  <si>
    <t>국가대표</t>
    <phoneticPr fontId="2" type="noConversion"/>
  </si>
  <si>
    <t>후보선수</t>
    <phoneticPr fontId="2" type="noConversion"/>
  </si>
  <si>
    <t>청소년선수</t>
    <phoneticPr fontId="2" type="noConversion"/>
  </si>
  <si>
    <t>국내대회 개최보조</t>
    <phoneticPr fontId="2" type="noConversion"/>
  </si>
  <si>
    <t>국제대회</t>
    <phoneticPr fontId="2" type="noConversion"/>
  </si>
  <si>
    <t>공단</t>
    <phoneticPr fontId="2" type="noConversion"/>
  </si>
  <si>
    <t>경기력 지원비</t>
    <phoneticPr fontId="2" type="noConversion"/>
  </si>
  <si>
    <t>사업수입</t>
    <phoneticPr fontId="2" type="noConversion"/>
  </si>
  <si>
    <t>공인료</t>
    <phoneticPr fontId="2" type="noConversion"/>
  </si>
  <si>
    <t>이자수입</t>
    <phoneticPr fontId="2" type="noConversion"/>
  </si>
  <si>
    <t>예금 이자</t>
    <phoneticPr fontId="2" type="noConversion"/>
  </si>
  <si>
    <t>기타수입</t>
    <phoneticPr fontId="2" type="noConversion"/>
  </si>
  <si>
    <t>비정규인력급여</t>
    <phoneticPr fontId="2" type="noConversion"/>
  </si>
  <si>
    <t>○ 결산 내역(수입)</t>
    <phoneticPr fontId="2" type="noConversion"/>
  </si>
  <si>
    <t>○ 결산 내역(지출)</t>
    <phoneticPr fontId="2" type="noConversion"/>
  </si>
  <si>
    <t>2015년 결산 총괄표</t>
    <phoneticPr fontId="2" type="noConversion"/>
  </si>
  <si>
    <t>2015년 예산</t>
    <phoneticPr fontId="2" type="noConversion"/>
  </si>
  <si>
    <t>2015년 결산</t>
    <phoneticPr fontId="2" type="noConversion"/>
  </si>
  <si>
    <t>심판수당1급</t>
  </si>
  <si>
    <t>심판수당2,3급</t>
  </si>
  <si>
    <t>운영요원수당</t>
  </si>
  <si>
    <t>보조요원수당</t>
  </si>
  <si>
    <t>의무반지원비</t>
  </si>
  <si>
    <t>숙박비</t>
  </si>
  <si>
    <t>식비</t>
  </si>
  <si>
    <t>중식비</t>
  </si>
  <si>
    <t>간식비</t>
  </si>
  <si>
    <t>프로그램제작비</t>
  </si>
  <si>
    <t>종합우승배</t>
  </si>
  <si>
    <t>메달</t>
  </si>
  <si>
    <t>메달금형비</t>
  </si>
  <si>
    <t>현수막제작비</t>
  </si>
  <si>
    <t>계측장비임차비</t>
  </si>
  <si>
    <t>모타보트 임차비</t>
  </si>
  <si>
    <t>모타보트 유류비</t>
  </si>
  <si>
    <t>차량운영비</t>
  </si>
  <si>
    <t>상해보험료</t>
  </si>
  <si>
    <t>자동출발시스템</t>
  </si>
  <si>
    <t>경기장 대관료</t>
  </si>
  <si>
    <t>상장제작비</t>
  </si>
  <si>
    <t>상패 및 시상품 제작</t>
  </si>
  <si>
    <t>개회식비</t>
  </si>
  <si>
    <t>시상금</t>
  </si>
  <si>
    <t>시상금보드</t>
  </si>
  <si>
    <t>유류비</t>
  </si>
  <si>
    <t>수상레저종합보험</t>
  </si>
  <si>
    <t>초청장 제작비</t>
  </si>
  <si>
    <t>심판수당2,3급(슬)</t>
  </si>
  <si>
    <t>교통비</t>
  </si>
  <si>
    <t>슬라럼메달</t>
  </si>
  <si>
    <t>출전보조비</t>
  </si>
  <si>
    <t>회의비</t>
  </si>
  <si>
    <t>소모품비</t>
  </si>
  <si>
    <t>대표자회의비</t>
  </si>
  <si>
    <t>심판수당1금(슬)</t>
  </si>
  <si>
    <t>심판수당</t>
  </si>
  <si>
    <t>장비임차료</t>
  </si>
  <si>
    <t>장비수송비(카약 등)</t>
  </si>
  <si>
    <t>배번호표</t>
  </si>
  <si>
    <t>심판복구입비</t>
  </si>
  <si>
    <t>심판 회의비(만찬비)</t>
  </si>
  <si>
    <t>연맹 차량운영비</t>
  </si>
  <si>
    <t>심판회의비(식비)</t>
  </si>
  <si>
    <t>일비</t>
  </si>
  <si>
    <t>업무활동비</t>
  </si>
  <si>
    <t>경기정임차비</t>
  </si>
  <si>
    <t>식 비</t>
  </si>
  <si>
    <t>문화교류비</t>
  </si>
  <si>
    <t>통역비</t>
  </si>
  <si>
    <t>환영회비</t>
  </si>
  <si>
    <t>차량임차료</t>
  </si>
  <si>
    <t>경기정수송비</t>
  </si>
  <si>
    <t>차량유지비</t>
  </si>
  <si>
    <t>지도자 일비</t>
  </si>
  <si>
    <t>지도자일비</t>
  </si>
  <si>
    <t>선수일비</t>
  </si>
  <si>
    <t>피복비(트레이닝복)</t>
  </si>
  <si>
    <t>약품구입비</t>
  </si>
  <si>
    <t>훈련용구품비</t>
  </si>
  <si>
    <t>선물비</t>
  </si>
  <si>
    <t>현지활동비</t>
  </si>
  <si>
    <t>급식비</t>
  </si>
  <si>
    <t>선수수당</t>
  </si>
  <si>
    <t>피복비</t>
  </si>
  <si>
    <t>격려금</t>
  </si>
  <si>
    <t>코치수당</t>
  </si>
  <si>
    <t>경기력향상연구비</t>
  </si>
  <si>
    <t>감독수당</t>
  </si>
  <si>
    <t>장비관리수당</t>
  </si>
  <si>
    <t>물리치료사수당</t>
  </si>
  <si>
    <t>복리후생비</t>
  </si>
  <si>
    <t>훈련복구입비</t>
  </si>
  <si>
    <t>식비및간식비</t>
  </si>
  <si>
    <t>모터보트임차비</t>
  </si>
  <si>
    <t>경기정운반비</t>
  </si>
  <si>
    <t>지도자활동비</t>
  </si>
  <si>
    <t>목욕비</t>
  </si>
  <si>
    <t>현수막 제작비</t>
  </si>
  <si>
    <t>패들구입비</t>
  </si>
  <si>
    <t>시설사용료</t>
  </si>
  <si>
    <t>오일&lt;ccl&gt;</t>
  </si>
  <si>
    <t>숙식비</t>
  </si>
  <si>
    <t>강습비</t>
  </si>
  <si>
    <t>전담지도자</t>
  </si>
  <si>
    <t>물리치료사 운영</t>
  </si>
  <si>
    <t>체제비</t>
  </si>
  <si>
    <t>인쇄비</t>
  </si>
  <si>
    <t>장소대관료</t>
  </si>
  <si>
    <t>회의비(교통비포함)</t>
  </si>
  <si>
    <t>강사비(초청)</t>
  </si>
  <si>
    <t>(2015.01.01~2015.12.31)</t>
    <phoneticPr fontId="2" type="noConversion"/>
  </si>
  <si>
    <t>과목</t>
    <phoneticPr fontId="2" type="noConversion"/>
  </si>
  <si>
    <t xml:space="preserve"> 예산</t>
    <phoneticPr fontId="2" type="noConversion"/>
  </si>
  <si>
    <t xml:space="preserve"> 결산</t>
    <phoneticPr fontId="2" type="noConversion"/>
  </si>
  <si>
    <t>예산대비 증감</t>
    <phoneticPr fontId="2" type="noConversion"/>
  </si>
  <si>
    <t>내역</t>
    <phoneticPr fontId="2" type="noConversion"/>
  </si>
  <si>
    <t>비고</t>
    <phoneticPr fontId="2" type="noConversion"/>
  </si>
  <si>
    <t>관</t>
    <phoneticPr fontId="2" type="noConversion"/>
  </si>
  <si>
    <t>항</t>
    <phoneticPr fontId="2" type="noConversion"/>
  </si>
  <si>
    <t>목</t>
    <phoneticPr fontId="2" type="noConversion"/>
  </si>
  <si>
    <t>전기이월금</t>
    <phoneticPr fontId="2" type="noConversion"/>
  </si>
  <si>
    <t>찬조금</t>
    <phoneticPr fontId="2" type="noConversion"/>
  </si>
  <si>
    <t>보조금</t>
    <phoneticPr fontId="2" type="noConversion"/>
  </si>
  <si>
    <t>소계</t>
    <phoneticPr fontId="2" type="noConversion"/>
  </si>
  <si>
    <t>국고</t>
    <phoneticPr fontId="2" type="noConversion"/>
  </si>
  <si>
    <t>계</t>
    <phoneticPr fontId="2" type="noConversion"/>
  </si>
  <si>
    <t>(체육회)</t>
    <phoneticPr fontId="2" type="noConversion"/>
  </si>
  <si>
    <t>급여보조</t>
    <phoneticPr fontId="2" type="noConversion"/>
  </si>
  <si>
    <t>인건비</t>
    <phoneticPr fontId="2" type="noConversion"/>
  </si>
  <si>
    <t>퇴직적립금</t>
    <phoneticPr fontId="2" type="noConversion"/>
  </si>
  <si>
    <t>행정보조비</t>
    <phoneticPr fontId="2" type="noConversion"/>
  </si>
  <si>
    <t>국가대표</t>
    <phoneticPr fontId="2" type="noConversion"/>
  </si>
  <si>
    <t>스프린트 대표선수 강화훈련비</t>
    <phoneticPr fontId="2" type="noConversion"/>
  </si>
  <si>
    <t>스프린트 국외전지훈련(1차)</t>
    <phoneticPr fontId="2" type="noConversion"/>
  </si>
  <si>
    <t>스프린트 국외전지훈련(3차)</t>
  </si>
  <si>
    <t>슬라럼 대표선수 강화훈련비</t>
    <phoneticPr fontId="2" type="noConversion"/>
  </si>
  <si>
    <t>슬라럼 국외전지훈련(1차)</t>
    <phoneticPr fontId="2" type="noConversion"/>
  </si>
  <si>
    <t>슬라럼 국외전지훈련(2차)</t>
  </si>
  <si>
    <t>스프린트 외국인코치 초청사업</t>
    <phoneticPr fontId="2" type="noConversion"/>
  </si>
  <si>
    <t>후보선수</t>
    <phoneticPr fontId="2" type="noConversion"/>
  </si>
  <si>
    <t>후보선수 국외전지훈련</t>
    <phoneticPr fontId="2" type="noConversion"/>
  </si>
  <si>
    <t>후보선수 동계 합숙훈련</t>
    <phoneticPr fontId="2" type="noConversion"/>
  </si>
  <si>
    <t>후보선수 하계 합숙훈련</t>
    <phoneticPr fontId="2" type="noConversion"/>
  </si>
  <si>
    <t>청소년선수</t>
    <phoneticPr fontId="2" type="noConversion"/>
  </si>
  <si>
    <t>청소년대표 국내훈련(연간)</t>
    <phoneticPr fontId="2" type="noConversion"/>
  </si>
  <si>
    <t>청소년대표 국외전지훈련</t>
    <phoneticPr fontId="2" type="noConversion"/>
  </si>
  <si>
    <t>경기력지원비</t>
    <phoneticPr fontId="2" type="noConversion"/>
  </si>
  <si>
    <t>국내대회</t>
    <phoneticPr fontId="2" type="noConversion"/>
  </si>
  <si>
    <t>제44회 전국소년체육대회</t>
    <phoneticPr fontId="2" type="noConversion"/>
  </si>
  <si>
    <t>개최보조</t>
    <phoneticPr fontId="2" type="noConversion"/>
  </si>
  <si>
    <t>제96회 전국체육대회</t>
    <phoneticPr fontId="2" type="noConversion"/>
  </si>
  <si>
    <t>국제대회</t>
    <phoneticPr fontId="2" type="noConversion"/>
  </si>
  <si>
    <t>스프린트 아시아선수권대회(국외전지훈련 2차)</t>
    <phoneticPr fontId="2" type="noConversion"/>
  </si>
  <si>
    <t>국제교류</t>
    <phoneticPr fontId="2" type="noConversion"/>
  </si>
  <si>
    <t>아시아카누연맹 정기총회</t>
    <phoneticPr fontId="2" type="noConversion"/>
  </si>
  <si>
    <t>국외정보수집</t>
    <phoneticPr fontId="2" type="noConversion"/>
  </si>
  <si>
    <t>한일 우수청소년 스포츠교류(파견)</t>
    <phoneticPr fontId="2" type="noConversion"/>
  </si>
  <si>
    <t>한일 우수청소년 스포츠교류(초청)</t>
    <phoneticPr fontId="2" type="noConversion"/>
  </si>
  <si>
    <t>국제인력 국제대회 파견</t>
    <phoneticPr fontId="2" type="noConversion"/>
  </si>
  <si>
    <t>공단</t>
    <phoneticPr fontId="2" type="noConversion"/>
  </si>
  <si>
    <t>계</t>
    <phoneticPr fontId="2" type="noConversion"/>
  </si>
  <si>
    <t>기금지원비</t>
    <phoneticPr fontId="2" type="noConversion"/>
  </si>
  <si>
    <t>사업수입</t>
    <phoneticPr fontId="2" type="noConversion"/>
  </si>
  <si>
    <t>소계</t>
    <phoneticPr fontId="2" type="noConversion"/>
  </si>
  <si>
    <t>기금운용</t>
    <phoneticPr fontId="2" type="noConversion"/>
  </si>
  <si>
    <t>수익</t>
    <phoneticPr fontId="2" type="noConversion"/>
  </si>
  <si>
    <t>인건비</t>
    <phoneticPr fontId="2" type="noConversion"/>
  </si>
  <si>
    <t>재정자립적립금 과실금 수익</t>
    <phoneticPr fontId="2" type="noConversion"/>
  </si>
  <si>
    <t>사업비</t>
    <phoneticPr fontId="2" type="noConversion"/>
  </si>
  <si>
    <t>법화화기금 과실금 수익</t>
    <phoneticPr fontId="2" type="noConversion"/>
  </si>
  <si>
    <t>자체사업</t>
    <phoneticPr fontId="2" type="noConversion"/>
  </si>
  <si>
    <t>계</t>
    <phoneticPr fontId="2" type="noConversion"/>
  </si>
  <si>
    <t>국내대회</t>
    <phoneticPr fontId="2" type="noConversion"/>
  </si>
  <si>
    <t>제11회 백마강배 전국카누경기대회</t>
    <phoneticPr fontId="2" type="noConversion"/>
  </si>
  <si>
    <t>제14회 파로호배 전국카누경기대회</t>
    <phoneticPr fontId="2" type="noConversion"/>
  </si>
  <si>
    <t>제9회 국민체육진흥공단이사장배 전국카누경기대회</t>
    <phoneticPr fontId="2" type="noConversion"/>
  </si>
  <si>
    <t>제11회 국민체육진흥공단이사장배 전국 카누슬라럼 및 용선대회</t>
    <phoneticPr fontId="2" type="noConversion"/>
  </si>
  <si>
    <t>제10회 전국해양스포츠제전</t>
    <phoneticPr fontId="2" type="noConversion"/>
  </si>
  <si>
    <t>제32회 회장배 전국카누경기대회</t>
    <phoneticPr fontId="2" type="noConversion"/>
  </si>
  <si>
    <t>계</t>
    <phoneticPr fontId="2" type="noConversion"/>
  </si>
  <si>
    <t>인턴지원사업</t>
    <phoneticPr fontId="2" type="noConversion"/>
  </si>
  <si>
    <t>체육분야 인턴지원사업 인건비 지원금</t>
    <phoneticPr fontId="2" type="noConversion"/>
  </si>
  <si>
    <t>인건비</t>
    <phoneticPr fontId="2" type="noConversion"/>
  </si>
  <si>
    <t>법인세</t>
    <phoneticPr fontId="2" type="noConversion"/>
  </si>
  <si>
    <t>2014년 이자소득에 대한 법인세 환급금</t>
    <phoneticPr fontId="2" type="noConversion"/>
  </si>
  <si>
    <t>환급금</t>
    <phoneticPr fontId="2" type="noConversion"/>
  </si>
  <si>
    <t>공인료</t>
    <phoneticPr fontId="2" type="noConversion"/>
  </si>
  <si>
    <t>소계</t>
    <phoneticPr fontId="2" type="noConversion"/>
  </si>
  <si>
    <t>제9회 국민체육진흥공단 이사장배 레인시설 공인료</t>
  </si>
  <si>
    <t>제32회 회장배 전국카누경기대회 레인시설 공인료</t>
  </si>
  <si>
    <t>기탁금</t>
    <phoneticPr fontId="2" type="noConversion"/>
  </si>
  <si>
    <t>2014 인천아시아경기대회 자동출발시스템 기탁금</t>
  </si>
  <si>
    <t>2014년 제95회 전국체육대회 자동출발시스템 기탁금</t>
  </si>
  <si>
    <t>이자수입</t>
    <phoneticPr fontId="2" type="noConversion"/>
  </si>
  <si>
    <t>예금이자</t>
    <phoneticPr fontId="2" type="noConversion"/>
  </si>
  <si>
    <t>기타수입</t>
    <phoneticPr fontId="2" type="noConversion"/>
  </si>
  <si>
    <t>2015년 지도자 및 심판강습회 참가비</t>
    <phoneticPr fontId="2" type="noConversion"/>
  </si>
  <si>
    <t>제증명수수료 및 레저카누임대료</t>
    <phoneticPr fontId="2" type="noConversion"/>
  </si>
  <si>
    <t>단기차입금</t>
    <phoneticPr fontId="2" type="noConversion"/>
  </si>
  <si>
    <t>미지급금</t>
    <phoneticPr fontId="2" type="noConversion"/>
  </si>
  <si>
    <t>합계</t>
    <phoneticPr fontId="2" type="noConversion"/>
  </si>
  <si>
    <t>1급 (80,000원*18명*3일)+(80,000원*1명*2일)</t>
  </si>
  <si>
    <t>2,3급 60,000원*9명*3일</t>
  </si>
  <si>
    <t>심판 및 운영요원 거리별 차등지급</t>
  </si>
  <si>
    <t>60,000원*3명*5일</t>
  </si>
  <si>
    <t>(30,000원*6명*3일)+(30,000원*2명*1일)</t>
  </si>
  <si>
    <t>100,000원*2명*3일</t>
  </si>
  <si>
    <t>(50,000원*13실*2일)+(50,000원*12실*1일)</t>
  </si>
  <si>
    <t>(7,000원*221식)+1,700원</t>
  </si>
  <si>
    <t>5,500원*200부</t>
  </si>
  <si>
    <t>110,000원*15개</t>
  </si>
  <si>
    <t>도로 및 경기장내 현수막, 입간판 등</t>
  </si>
  <si>
    <t>1,500,000원*3일</t>
  </si>
  <si>
    <t>생수, 꽃다발, 시상상품권, 토너, 코사지, 사무용품 등</t>
  </si>
  <si>
    <t>330,000원*3일</t>
  </si>
  <si>
    <t>모터보트 및 연맹차량 유류비</t>
  </si>
  <si>
    <t>상해보험 가입 (대회참가선수 252명)</t>
  </si>
  <si>
    <t>자동출발시스템 임차비 2세트*3일</t>
  </si>
  <si>
    <t>대회운영 장비 운송비</t>
  </si>
  <si>
    <t>25,000원*60명</t>
  </si>
  <si>
    <t>시도지부 기념품 구입비 450,000원*15개시도</t>
  </si>
  <si>
    <t>승하선 폰툰 및 스타트, 피니쉬 폰툰 등</t>
  </si>
  <si>
    <t>1,000M*9레인 (피니쉬타워 포함)</t>
  </si>
  <si>
    <t>개회식 및 시상시기용, 무대 백보드</t>
  </si>
  <si>
    <t>1급 80,000원*17명*2일</t>
  </si>
  <si>
    <t>2,3급 60,000원*10명*2일</t>
  </si>
  <si>
    <t>60,000원*2명*3일</t>
  </si>
  <si>
    <t>30,000원*10명*2일</t>
  </si>
  <si>
    <t>(40,000원*21실*2일)+(40,000원*1실*3일)</t>
  </si>
  <si>
    <t>(7,000원*123식)+4,500원</t>
  </si>
  <si>
    <t>간식 및 생수구입</t>
  </si>
  <si>
    <t>3,300원*200개</t>
  </si>
  <si>
    <t>대회운영 장비 운송비 및 연맹차량 유류비</t>
  </si>
  <si>
    <t>상해보험 가입 (대회참가선수 144명)</t>
  </si>
  <si>
    <t>대회 사무용품(토너, 복사용지, 문구류 등)</t>
  </si>
  <si>
    <t>캐노피텐트 임차비 70,000원*14개시도</t>
  </si>
  <si>
    <t>입간판, 시도현수막, 메인현수막</t>
  </si>
  <si>
    <t>20,000원*70명</t>
  </si>
  <si>
    <t>용선,슬라럼 200,000원*20명*1일</t>
  </si>
  <si>
    <t>용선 100,000원*6명*2일</t>
  </si>
  <si>
    <t>용선 50,000원*20명*1일</t>
  </si>
  <si>
    <t>심판 및 키잡이,운영요원 50,000원*26명</t>
  </si>
  <si>
    <t>350,000원*1일</t>
  </si>
  <si>
    <t>40,000원*22실</t>
  </si>
  <si>
    <t>(7,000원*139식)+2,500원</t>
  </si>
  <si>
    <t>심판 및 키잡이, 운영요원 및 보조요원</t>
  </si>
  <si>
    <t>550원*1,000부</t>
  </si>
  <si>
    <t>(5,500원*90개)+(11,000원*13개)</t>
  </si>
  <si>
    <t>88,000원*2개</t>
  </si>
  <si>
    <t>육교 및 거리현수막, 시.도 현수막, 타이틀 현수막</t>
  </si>
  <si>
    <t>50,000원*22개</t>
  </si>
  <si>
    <t>꽃다발 및 생수, 사무용품 등</t>
  </si>
  <si>
    <t>대회운영 연맹장비 운송비</t>
  </si>
  <si>
    <t>모터보트 및 연맹차량 유류비, 하이패스 충전비</t>
  </si>
  <si>
    <t>수상레저보험 가입</t>
  </si>
  <si>
    <t>660원*400장</t>
  </si>
  <si>
    <t>용선마스터즈 400,000원*20팀</t>
  </si>
  <si>
    <t>(스프린트)1급 (80,000원*19명*3일)+(80,000원*1명*1일)</t>
  </si>
  <si>
    <t>(스프린트)2,3급 60,000원*9명*3일</t>
  </si>
  <si>
    <t>(슬라럼)1급 80,000원*4명*1일</t>
  </si>
  <si>
    <t>(슬라럼)2,3급 60,000원*5명*1일</t>
  </si>
  <si>
    <t>(60,000원*1명*5일)+(60,000원*1명*2일)</t>
  </si>
  <si>
    <t>30,000원*7명*3일</t>
  </si>
  <si>
    <t>(50,000원*8실*3박)+(50,000원*2실*2박)+(50,000원*6실*1박)</t>
  </si>
  <si>
    <t>(7,000원*234식)+4,500원</t>
  </si>
  <si>
    <t>(7,000원*44개*3일)+26,000원</t>
  </si>
  <si>
    <t>(185,000원*3일)+2,620원</t>
  </si>
  <si>
    <t>5,500원*200개</t>
  </si>
  <si>
    <t>110,000원*17개</t>
  </si>
  <si>
    <t>(스프린트) 4,950원*380개</t>
  </si>
  <si>
    <t>(슬라럼) 11,000원*14개</t>
  </si>
  <si>
    <t>300,000원*1일</t>
  </si>
  <si>
    <t>440원*1,000장</t>
  </si>
  <si>
    <t>대회장비 운송비, 연맹차량 유류비 및 하이패스 충전비</t>
  </si>
  <si>
    <t>상해보험 가입 (스프린트 243명, 슬라럼 26명)</t>
  </si>
  <si>
    <t>500,000원*14개시도</t>
  </si>
  <si>
    <t>대회 사무용품, 폭염예방 모자제작비, 시상상품권 등</t>
  </si>
  <si>
    <t>대표자회의 식비</t>
  </si>
  <si>
    <t>1급 (80,000원*19명*3일)+(80,000원*2명*2일)</t>
  </si>
  <si>
    <t>2,3급 60,000원*12명*3일</t>
  </si>
  <si>
    <t>60,000원*3명*4일</t>
  </si>
  <si>
    <t>30,000원*5명*3일</t>
  </si>
  <si>
    <t>350,000원*3일</t>
  </si>
  <si>
    <t>50,000원*15실*3일</t>
  </si>
  <si>
    <t>(7,000원*271식)+2,800원</t>
  </si>
  <si>
    <t>110,000원*16개</t>
  </si>
  <si>
    <t>4,950원*406개</t>
  </si>
  <si>
    <t>88,000원*1개</t>
  </si>
  <si>
    <t>880원*500장</t>
  </si>
  <si>
    <t>660원*300장</t>
  </si>
  <si>
    <t>생수, 꽃다발, 시상상품권, 토너, 코사지 등</t>
  </si>
  <si>
    <t>500,000원*15개 시도지부</t>
  </si>
  <si>
    <t>상해보험 가입 (대회참가선수 256명)</t>
  </si>
  <si>
    <t>사업비 선금신청 보증보험료</t>
  </si>
  <si>
    <t>1,000M*9레인*3일</t>
  </si>
  <si>
    <t>거리별 차등지급</t>
  </si>
  <si>
    <t>현수막제작 및 시상대 제작비</t>
  </si>
  <si>
    <t>생수,꽃다발,시상상품권,토너,코사지 등</t>
  </si>
  <si>
    <t>상해보험 가입 (스프린트 418명, 슬라럼 4명)</t>
  </si>
  <si>
    <t>슬라럼 경기정설치 인건비</t>
  </si>
  <si>
    <t>미사리경기장 대관료</t>
  </si>
  <si>
    <t>80,000원*15명*2일</t>
  </si>
  <si>
    <t>60,000원*6명*3일</t>
  </si>
  <si>
    <t>50,000원*14실*2일</t>
  </si>
  <si>
    <t>(7,000원*161식)+3,320원</t>
  </si>
  <si>
    <t>심판 및 운영요원 50,000원*21명</t>
  </si>
  <si>
    <t>시도선수 출전보조비 70,000원*200명</t>
  </si>
  <si>
    <t>바다카약, 인플레터블, 래프팅, 패들, 구명조끼 등</t>
  </si>
  <si>
    <t>모터보트 유류비</t>
  </si>
  <si>
    <t>385,000원*5대</t>
  </si>
  <si>
    <t>연맹차량 유류비, 통행료, 현지교통비</t>
  </si>
  <si>
    <t>1급 (80,000원*21명*3일)+(80,000원*1명*2일)+(80,000원*2명*1일)</t>
  </si>
  <si>
    <t>2,3급 60,000원*10명*3일</t>
  </si>
  <si>
    <t>60,000원*1명*3일</t>
  </si>
  <si>
    <t>30,000원*3명*3일</t>
  </si>
  <si>
    <t>(40,000원*28실)+(80,000원*6실)</t>
  </si>
  <si>
    <t>(7,000원*128식)+3,200원</t>
  </si>
  <si>
    <t>도시락 7,000원*60개*3일</t>
  </si>
  <si>
    <t>생수 및 간식비</t>
  </si>
  <si>
    <t>4,950원*481개</t>
  </si>
  <si>
    <t>500,000원*16개시도</t>
  </si>
  <si>
    <t>상해보험 가입 (대회참가선수 413명)</t>
  </si>
  <si>
    <t>시상상품권 구입</t>
  </si>
  <si>
    <t>하이패스 충전비</t>
  </si>
  <si>
    <t>1급(80,000원*16명*3일)</t>
  </si>
  <si>
    <t>2,3급(60,000원*17명*3일)</t>
  </si>
  <si>
    <t>26,000원*33명*4일</t>
  </si>
  <si>
    <t>25,000원*33명*2회</t>
  </si>
  <si>
    <t>(30,000원*33명*3일)+(부족분 112만원)</t>
  </si>
  <si>
    <t>(7,000원*83식)+3,700원</t>
  </si>
  <si>
    <t>(7,000원*93식)+3,000원</t>
  </si>
  <si>
    <t>빵, 우유 구입</t>
  </si>
  <si>
    <t>상해보험 가입(대회참가선수 383명)</t>
  </si>
  <si>
    <t>198,000원*2회</t>
  </si>
  <si>
    <t>모바일초청장 제작비</t>
  </si>
  <si>
    <t>930,000원*17명</t>
  </si>
  <si>
    <t>$67*16명*11일*1,188원</t>
  </si>
  <si>
    <t>$43*16명*12일*1,100원</t>
  </si>
  <si>
    <t>$10*17명*12일*1,100원</t>
  </si>
  <si>
    <t>$2,720*1,162원</t>
  </si>
  <si>
    <t>교류용품구입</t>
  </si>
  <si>
    <t>보조배터리</t>
  </si>
  <si>
    <t>항공수하물 추가 요금</t>
  </si>
  <si>
    <t>2,000,400원*1명</t>
  </si>
  <si>
    <t>현지업무비(교통비,통신비,간식비,소모품비)</t>
  </si>
  <si>
    <t>손목시계 및 인쇄비용</t>
  </si>
  <si>
    <t>출마 명함제작비</t>
  </si>
  <si>
    <t>1,750,300원*2명</t>
  </si>
  <si>
    <t>현지업무비</t>
  </si>
  <si>
    <t>(환전 EUR225*1,312원)+(초과분 46,310원)</t>
  </si>
  <si>
    <t>현지 선물비</t>
  </si>
  <si>
    <t>도서구입비</t>
  </si>
  <si>
    <t>카누교재구입비</t>
  </si>
  <si>
    <t>단복비</t>
  </si>
  <si>
    <t>55,000원*5명</t>
  </si>
  <si>
    <t>(2,447,200원*7명)+(469,600*1명)</t>
  </si>
  <si>
    <t>2,600유로*1,166원 (1차)</t>
  </si>
  <si>
    <t>$50*11일*8명*1,100원</t>
  </si>
  <si>
    <t>$10*11일*8명*1,100원</t>
  </si>
  <si>
    <t>($6,399.10*1,118.80원)+(해외이용수수료 21,477원)</t>
  </si>
  <si>
    <t>($76.39*1,122.9원)+(해외이용수수료 257원)</t>
  </si>
  <si>
    <t>EUR30*11명*10일*1,166원</t>
  </si>
  <si>
    <t>EUR3,500*1,263원</t>
  </si>
  <si>
    <t>국제심판 참가경비 및 해외송금수수료</t>
  </si>
  <si>
    <t>1,798,000원*4개월*1명</t>
  </si>
  <si>
    <t>(2,389,500원*4명)+(1,986,700원*1명)</t>
  </si>
  <si>
    <t>4,740파운드*1,855원</t>
  </si>
  <si>
    <t>USD51*13일*5명*1,100원</t>
  </si>
  <si>
    <t>USD10*13일*5명*1,100원</t>
  </si>
  <si>
    <t>625파운드*1,815원</t>
  </si>
  <si>
    <t>EUR1,000*1,336원</t>
  </si>
  <si>
    <t>236,200원+459,116원</t>
  </si>
  <si>
    <t>120,000원*30명</t>
  </si>
  <si>
    <t>40,000원*30명*19박</t>
  </si>
  <si>
    <t>28,000원*30명*20일</t>
  </si>
  <si>
    <t>50,000원*20일*3대</t>
  </si>
  <si>
    <t>1,750,000원*2회</t>
  </si>
  <si>
    <t>3,000원*30명</t>
  </si>
  <si>
    <t>30,000원*4명</t>
  </si>
  <si>
    <t>3,000원*26명*3회</t>
  </si>
  <si>
    <t>100,000원*1개</t>
  </si>
  <si>
    <t>70,000원*26개</t>
  </si>
  <si>
    <t>20,000원*26명*20일</t>
  </si>
  <si>
    <t>100,000원*3명*20일</t>
  </si>
  <si>
    <t>110,000원*30명</t>
  </si>
  <si>
    <t>30,000원*30명*19박</t>
  </si>
  <si>
    <t>37,500원*30명*20일</t>
  </si>
  <si>
    <t xml:space="preserve"> 3,000원*26명*18일</t>
  </si>
  <si>
    <t>800,000원*5개</t>
  </si>
  <si>
    <t>75,000원*26개</t>
  </si>
  <si>
    <t>55,000원*20일*3대</t>
  </si>
  <si>
    <t>(보트 및 차량유류비) 1,900원*40리터*18일*4대</t>
  </si>
  <si>
    <t>850,000원*2회</t>
  </si>
  <si>
    <t>750,000원*2회</t>
  </si>
  <si>
    <t>1,625,700원*10명</t>
  </si>
  <si>
    <t>97,350원*8명</t>
  </si>
  <si>
    <t>200,000원*32명</t>
  </si>
  <si>
    <t>22,000원*32명*19박</t>
  </si>
  <si>
    <t>23,000원*32명*20일</t>
  </si>
  <si>
    <t>5,000원*26명*18일</t>
  </si>
  <si>
    <t>5,000원*31명*4회</t>
  </si>
  <si>
    <t>40,000원*31명</t>
  </si>
  <si>
    <t>5,000원*31명</t>
  </si>
  <si>
    <t>100,000원*5명*20일</t>
  </si>
  <si>
    <t>30,000원*5명</t>
  </si>
  <si>
    <t>200,000원*1종</t>
  </si>
  <si>
    <t>800,000원*3개</t>
  </si>
  <si>
    <t>52,000원*26개</t>
  </si>
  <si>
    <t>40,000원*3대*18일</t>
  </si>
  <si>
    <t>(보트유류비) 2,000원*30리터*3대*18일</t>
  </si>
  <si>
    <t>200,000원*1회</t>
  </si>
  <si>
    <t>500,000원*2회</t>
  </si>
  <si>
    <t>20,000원*32명</t>
  </si>
  <si>
    <t>500,000원*1명*9개월</t>
  </si>
  <si>
    <t>2,000,000원*1명*9개월</t>
  </si>
  <si>
    <t>(1,249,000원×13명)+(1,235,000원×2명)</t>
  </si>
  <si>
    <t>$24,423×1,189원</t>
  </si>
  <si>
    <t>$10×15명×16일×1,100원</t>
  </si>
  <si>
    <t xml:space="preserve"> 수입 결산서</t>
    <phoneticPr fontId="2" type="noConversion"/>
  </si>
  <si>
    <t>(2015.01.01~2015.12.31)</t>
    <phoneticPr fontId="2" type="noConversion"/>
  </si>
  <si>
    <t>과목</t>
    <phoneticPr fontId="2" type="noConversion"/>
  </si>
  <si>
    <t xml:space="preserve"> 예산</t>
    <phoneticPr fontId="2" type="noConversion"/>
  </si>
  <si>
    <t xml:space="preserve"> 결산</t>
    <phoneticPr fontId="2" type="noConversion"/>
  </si>
  <si>
    <t>예산대비 증감</t>
    <phoneticPr fontId="2" type="noConversion"/>
  </si>
  <si>
    <t>내역</t>
    <phoneticPr fontId="2" type="noConversion"/>
  </si>
  <si>
    <t>비고</t>
    <phoneticPr fontId="2" type="noConversion"/>
  </si>
  <si>
    <t>관</t>
    <phoneticPr fontId="2" type="noConversion"/>
  </si>
  <si>
    <t>항</t>
    <phoneticPr fontId="2" type="noConversion"/>
  </si>
  <si>
    <t>목</t>
    <phoneticPr fontId="2" type="noConversion"/>
  </si>
  <si>
    <t>운영비</t>
    <phoneticPr fontId="2" type="noConversion"/>
  </si>
  <si>
    <t>소계</t>
    <phoneticPr fontId="2" type="noConversion"/>
  </si>
  <si>
    <t>경상비</t>
    <phoneticPr fontId="2" type="noConversion"/>
  </si>
  <si>
    <t>계</t>
    <phoneticPr fontId="2" type="noConversion"/>
  </si>
  <si>
    <t>도서구입비</t>
    <phoneticPr fontId="2" type="noConversion"/>
  </si>
  <si>
    <t>신문구독료</t>
    <phoneticPr fontId="2" type="noConversion"/>
  </si>
  <si>
    <t xml:space="preserve"> </t>
    <phoneticPr fontId="2" type="noConversion"/>
  </si>
  <si>
    <t>비품수선비</t>
    <phoneticPr fontId="2" type="noConversion"/>
  </si>
  <si>
    <t>전화기, 컴퓨터 수리비</t>
  </si>
  <si>
    <t>소모품비</t>
    <phoneticPr fontId="2" type="noConversion"/>
  </si>
  <si>
    <t>사무용품,생수,무전기할부금,토너,복사용지 등</t>
  </si>
  <si>
    <t>인쇄출판비</t>
    <phoneticPr fontId="2" type="noConversion"/>
  </si>
  <si>
    <t xml:space="preserve">명함제작비, 영한번역비, </t>
  </si>
  <si>
    <t>경조사비</t>
    <phoneticPr fontId="2" type="noConversion"/>
  </si>
  <si>
    <t>경조사 화환, 조화</t>
  </si>
  <si>
    <t>사무실운영비</t>
    <phoneticPr fontId="2" type="noConversion"/>
  </si>
  <si>
    <t>업무교통비,명절선물비,야근식비,감사비 등</t>
  </si>
  <si>
    <t>전무이사활동비</t>
    <phoneticPr fontId="2" type="noConversion"/>
  </si>
  <si>
    <t>전무이사활동비</t>
  </si>
  <si>
    <t>청소비</t>
    <phoneticPr fontId="2" type="noConversion"/>
  </si>
  <si>
    <t>청소아주머니 50,000원×12개월</t>
  </si>
  <si>
    <t>패제작비</t>
    <phoneticPr fontId="2" type="noConversion"/>
  </si>
  <si>
    <t>시상품제작비</t>
    <phoneticPr fontId="2" type="noConversion"/>
  </si>
  <si>
    <t>우편요금</t>
    <phoneticPr fontId="2" type="noConversion"/>
  </si>
  <si>
    <t>우편요금</t>
  </si>
  <si>
    <t>통신비</t>
    <phoneticPr fontId="2" type="noConversion"/>
  </si>
  <si>
    <t>전파사용료, 전화요금</t>
  </si>
  <si>
    <t>회비</t>
    <phoneticPr fontId="2" type="noConversion"/>
  </si>
  <si>
    <t>경기단체연합회 회비, ICF, ACC 회비</t>
  </si>
  <si>
    <t>각종수수료</t>
    <phoneticPr fontId="2" type="noConversion"/>
  </si>
  <si>
    <t>주민세,자동차세,서류발급비,사업비카드미납수수료 등</t>
    <phoneticPr fontId="2" type="noConversion"/>
  </si>
  <si>
    <t>세무대행수수료</t>
    <phoneticPr fontId="2" type="noConversion"/>
  </si>
  <si>
    <t>세무대행수수료, 결산조정수수료</t>
    <phoneticPr fontId="2" type="noConversion"/>
  </si>
  <si>
    <t>보험료</t>
    <phoneticPr fontId="2" type="noConversion"/>
  </si>
  <si>
    <t>보증보험료 95,940원*3명(직위), 연맹자동차보험료</t>
    <phoneticPr fontId="2" type="noConversion"/>
  </si>
  <si>
    <t>유지보수비</t>
    <phoneticPr fontId="2" type="noConversion"/>
  </si>
  <si>
    <t>연맹홈페이지, 회계프로그램</t>
  </si>
  <si>
    <t>복사기임차료</t>
    <phoneticPr fontId="2" type="noConversion"/>
  </si>
  <si>
    <t>165,000원×12개월</t>
  </si>
  <si>
    <t>국내출장비</t>
    <phoneticPr fontId="2" type="noConversion"/>
  </si>
  <si>
    <t>국내대회,업무협의,행사출장비(임직원)</t>
  </si>
  <si>
    <t>PC렌탈료</t>
    <phoneticPr fontId="2" type="noConversion"/>
  </si>
  <si>
    <t>사무국직원 및 인턴직원 PC렌탈비용</t>
  </si>
  <si>
    <t>차량운영비</t>
    <phoneticPr fontId="2" type="noConversion"/>
  </si>
  <si>
    <t>자동차수리비, 유류비, 통행료 등</t>
  </si>
  <si>
    <t>기타</t>
    <phoneticPr fontId="2" type="noConversion"/>
  </si>
  <si>
    <t>외국인코치 사진인화,체육회행사후원비,청라카누순찰대 비용 등</t>
    <phoneticPr fontId="2" type="noConversion"/>
  </si>
  <si>
    <t>급여비</t>
    <phoneticPr fontId="2" type="noConversion"/>
  </si>
  <si>
    <t>사무국급여</t>
    <phoneticPr fontId="2" type="noConversion"/>
  </si>
  <si>
    <t>사무국급여(국제인력포함)</t>
    <phoneticPr fontId="2" type="noConversion"/>
  </si>
  <si>
    <t>비정규인력</t>
    <phoneticPr fontId="2" type="noConversion"/>
  </si>
  <si>
    <t>비정규직보수</t>
    <phoneticPr fontId="2" type="noConversion"/>
  </si>
  <si>
    <t>복리후생비</t>
    <phoneticPr fontId="2" type="noConversion"/>
  </si>
  <si>
    <t>국민연금</t>
    <phoneticPr fontId="2" type="noConversion"/>
  </si>
  <si>
    <t>국민연금</t>
  </si>
  <si>
    <t>건강보험료</t>
    <phoneticPr fontId="2" type="noConversion"/>
  </si>
  <si>
    <t>건강보험료</t>
  </si>
  <si>
    <t>고용/산재보험료</t>
    <phoneticPr fontId="2" type="noConversion"/>
  </si>
  <si>
    <t>고용/산재보험료</t>
  </si>
  <si>
    <t>퇴직충당금</t>
    <phoneticPr fontId="2" type="noConversion"/>
  </si>
  <si>
    <t>퇴직적립금</t>
    <phoneticPr fontId="2" type="noConversion"/>
  </si>
  <si>
    <t>초과수당</t>
    <phoneticPr fontId="2" type="noConversion"/>
  </si>
  <si>
    <t>초과근무수당</t>
    <phoneticPr fontId="2" type="noConversion"/>
  </si>
  <si>
    <t>건강검진비</t>
    <phoneticPr fontId="2" type="noConversion"/>
  </si>
  <si>
    <t>건강검진비</t>
    <phoneticPr fontId="2" type="noConversion"/>
  </si>
  <si>
    <t>국내대회비</t>
    <phoneticPr fontId="2" type="noConversion"/>
  </si>
  <si>
    <t xml:space="preserve">                                                                                                                                                     </t>
    <phoneticPr fontId="2" type="noConversion"/>
  </si>
  <si>
    <t>제32회</t>
    <phoneticPr fontId="2" type="noConversion"/>
  </si>
  <si>
    <t>회장배</t>
    <phoneticPr fontId="2" type="noConversion"/>
  </si>
  <si>
    <t>전국카누</t>
    <phoneticPr fontId="2" type="noConversion"/>
  </si>
  <si>
    <t>경기대회</t>
    <phoneticPr fontId="2" type="noConversion"/>
  </si>
  <si>
    <t>교통비</t>
    <phoneticPr fontId="2" type="noConversion"/>
  </si>
  <si>
    <t>야간경비수당</t>
    <phoneticPr fontId="2" type="noConversion"/>
  </si>
  <si>
    <t>5,160원*405개</t>
    <phoneticPr fontId="2" type="noConversion"/>
  </si>
  <si>
    <t>유류비</t>
    <phoneticPr fontId="2" type="noConversion"/>
  </si>
  <si>
    <t>운송비</t>
    <phoneticPr fontId="2" type="noConversion"/>
  </si>
  <si>
    <t>대표자회의비</t>
    <phoneticPr fontId="2" type="noConversion"/>
  </si>
  <si>
    <t>기념품구입비</t>
    <phoneticPr fontId="2" type="noConversion"/>
  </si>
  <si>
    <t>계류장임차비</t>
    <phoneticPr fontId="2" type="noConversion"/>
  </si>
  <si>
    <t>레인설치비</t>
    <phoneticPr fontId="2" type="noConversion"/>
  </si>
  <si>
    <t>무대설치비</t>
    <phoneticPr fontId="2" type="noConversion"/>
  </si>
  <si>
    <t>임차비</t>
    <phoneticPr fontId="2" type="noConversion"/>
  </si>
  <si>
    <t>음향시설, 몽골텐트, 테이블 및 의자 임차비</t>
    <phoneticPr fontId="2" type="noConversion"/>
  </si>
  <si>
    <t>제44회</t>
    <phoneticPr fontId="2" type="noConversion"/>
  </si>
  <si>
    <t>전국소년</t>
    <phoneticPr fontId="2" type="noConversion"/>
  </si>
  <si>
    <t>체육대회</t>
    <phoneticPr fontId="2" type="noConversion"/>
  </si>
  <si>
    <t>현수막제작비</t>
    <phoneticPr fontId="2" type="noConversion"/>
  </si>
  <si>
    <t>제11회</t>
    <phoneticPr fontId="2" type="noConversion"/>
  </si>
  <si>
    <t>국민체육</t>
    <phoneticPr fontId="2" type="noConversion"/>
  </si>
  <si>
    <t>심판수당</t>
    <phoneticPr fontId="2" type="noConversion"/>
  </si>
  <si>
    <t>진흥공단</t>
    <phoneticPr fontId="2" type="noConversion"/>
  </si>
  <si>
    <t>키잡이수당</t>
    <phoneticPr fontId="2" type="noConversion"/>
  </si>
  <si>
    <t>이사장배</t>
    <phoneticPr fontId="2" type="noConversion"/>
  </si>
  <si>
    <t>운영요원수당</t>
    <phoneticPr fontId="2" type="noConversion"/>
  </si>
  <si>
    <t>보조요원수당</t>
    <phoneticPr fontId="2" type="noConversion"/>
  </si>
  <si>
    <t>슬라럼</t>
    <phoneticPr fontId="2" type="noConversion"/>
  </si>
  <si>
    <t>및</t>
    <phoneticPr fontId="2" type="noConversion"/>
  </si>
  <si>
    <t>용선대회</t>
    <phoneticPr fontId="2" type="noConversion"/>
  </si>
  <si>
    <t>홍보브로셔제작비</t>
    <phoneticPr fontId="2" type="noConversion"/>
  </si>
  <si>
    <t>현수막제작비</t>
    <phoneticPr fontId="2" type="noConversion"/>
  </si>
  <si>
    <t>(용선마스터즈750만원)+(용선일반부570만원)+(슬라럼남일100만원)+(슬라럼여일100만원)</t>
    <phoneticPr fontId="2" type="noConversion"/>
  </si>
  <si>
    <t>소모품비</t>
    <phoneticPr fontId="2" type="noConversion"/>
  </si>
  <si>
    <t>운송비</t>
    <phoneticPr fontId="2" type="noConversion"/>
  </si>
  <si>
    <t>출전보조비</t>
    <phoneticPr fontId="2" type="noConversion"/>
  </si>
  <si>
    <t>제14회</t>
    <phoneticPr fontId="2" type="noConversion"/>
  </si>
  <si>
    <t>계</t>
    <phoneticPr fontId="2" type="noConversion"/>
  </si>
  <si>
    <t>파로호배</t>
    <phoneticPr fontId="2" type="noConversion"/>
  </si>
  <si>
    <t>전국카누</t>
    <phoneticPr fontId="2" type="noConversion"/>
  </si>
  <si>
    <t>경기대회</t>
    <phoneticPr fontId="2" type="noConversion"/>
  </si>
  <si>
    <t>심판수당1급</t>
    <phoneticPr fontId="2" type="noConversion"/>
  </si>
  <si>
    <t>심판수당2,3급</t>
    <phoneticPr fontId="2" type="noConversion"/>
  </si>
  <si>
    <t>메달</t>
    <phoneticPr fontId="2" type="noConversion"/>
  </si>
  <si>
    <t>의무반지원비</t>
    <phoneticPr fontId="2" type="noConversion"/>
  </si>
  <si>
    <t>시설설치비</t>
    <phoneticPr fontId="2" type="noConversion"/>
  </si>
  <si>
    <t>슬라럼 시설 설치 재료구입 및 설치인건비(기둥,폴대,로프,받침대 등)</t>
    <phoneticPr fontId="2" type="noConversion"/>
  </si>
  <si>
    <t>제9회</t>
    <phoneticPr fontId="2" type="noConversion"/>
  </si>
  <si>
    <t>초청장 제작비</t>
    <phoneticPr fontId="2" type="noConversion"/>
  </si>
  <si>
    <t>보증보험료</t>
    <phoneticPr fontId="2" type="noConversion"/>
  </si>
  <si>
    <t>렌탈업체비용</t>
    <phoneticPr fontId="2" type="noConversion"/>
  </si>
  <si>
    <t>무대설치,발전기및음향시설임차,몽골텐트임차,현수막제작,모바일화장실임차,모터보트임차,테이블및의자 임차 등</t>
    <phoneticPr fontId="2" type="noConversion"/>
  </si>
  <si>
    <t>제33회</t>
    <phoneticPr fontId="2" type="noConversion"/>
  </si>
  <si>
    <t>1급 (80,000원*18명*3일)+(80,000원*2명*2일)</t>
    <phoneticPr fontId="2" type="noConversion"/>
  </si>
  <si>
    <t>선수권</t>
    <phoneticPr fontId="2" type="noConversion"/>
  </si>
  <si>
    <t>2,3급 60,000원*9명*3일</t>
    <phoneticPr fontId="2" type="noConversion"/>
  </si>
  <si>
    <t>대회</t>
    <phoneticPr fontId="2" type="noConversion"/>
  </si>
  <si>
    <t>(60,000원*1명*4일)+(60,000원*1명*5일)</t>
    <phoneticPr fontId="2" type="noConversion"/>
  </si>
  <si>
    <t>30,000원*5명*4일</t>
    <phoneticPr fontId="2" type="noConversion"/>
  </si>
  <si>
    <t>250,000원*4일</t>
    <phoneticPr fontId="2" type="noConversion"/>
  </si>
  <si>
    <t>(50,000원*6실*3일)+(55,000원*1실*3일)</t>
    <phoneticPr fontId="2" type="noConversion"/>
  </si>
  <si>
    <t>(7,000원*342식)+4,370원 (간식비포함)</t>
    <phoneticPr fontId="2" type="noConversion"/>
  </si>
  <si>
    <t>모터보트임차비</t>
    <phoneticPr fontId="2" type="noConversion"/>
  </si>
  <si>
    <t>440,000원*2대</t>
    <phoneticPr fontId="2" type="noConversion"/>
  </si>
  <si>
    <t>제10회</t>
    <phoneticPr fontId="2" type="noConversion"/>
  </si>
  <si>
    <t>전국해양</t>
    <phoneticPr fontId="2" type="noConversion"/>
  </si>
  <si>
    <t>스포츠</t>
    <phoneticPr fontId="2" type="noConversion"/>
  </si>
  <si>
    <t>제전</t>
    <phoneticPr fontId="2" type="noConversion"/>
  </si>
  <si>
    <t>출전보조비</t>
    <phoneticPr fontId="2" type="noConversion"/>
  </si>
  <si>
    <t>모터보트유류비</t>
    <phoneticPr fontId="2" type="noConversion"/>
  </si>
  <si>
    <t>토너, 에어혼, 사무용품 등</t>
    <phoneticPr fontId="2" type="noConversion"/>
  </si>
  <si>
    <t>백마강배</t>
    <phoneticPr fontId="2" type="noConversion"/>
  </si>
  <si>
    <t>소모품구입비</t>
    <phoneticPr fontId="2" type="noConversion"/>
  </si>
  <si>
    <t>차량운영비</t>
    <phoneticPr fontId="2" type="noConversion"/>
  </si>
  <si>
    <t>제96회</t>
    <phoneticPr fontId="2" type="noConversion"/>
  </si>
  <si>
    <t>전국</t>
    <phoneticPr fontId="2" type="noConversion"/>
  </si>
  <si>
    <t>식비및일일교통비</t>
    <phoneticPr fontId="2" type="noConversion"/>
  </si>
  <si>
    <t>왕복교통비</t>
    <phoneticPr fontId="2" type="noConversion"/>
  </si>
  <si>
    <t>초청장제작비</t>
    <phoneticPr fontId="2" type="noConversion"/>
  </si>
  <si>
    <t>스프린트</t>
    <phoneticPr fontId="2" type="noConversion"/>
  </si>
  <si>
    <t>심판수당1급</t>
    <phoneticPr fontId="2" type="noConversion"/>
  </si>
  <si>
    <t>(후보 80,000원*17명*1일)+(대표 80,000원*19명*1일)</t>
    <phoneticPr fontId="2" type="noConversion"/>
  </si>
  <si>
    <t>국가대표</t>
    <phoneticPr fontId="2" type="noConversion"/>
  </si>
  <si>
    <t>심판수당2,3급</t>
    <phoneticPr fontId="2" type="noConversion"/>
  </si>
  <si>
    <t>(후보 60,000원*10명*1일)+(대표 60,000원*10명*1일)</t>
    <phoneticPr fontId="2" type="noConversion"/>
  </si>
  <si>
    <t>심판 및 운영요원 거리별 차등지급 (대표선발전)</t>
    <phoneticPr fontId="2" type="noConversion"/>
  </si>
  <si>
    <t>후보선수</t>
    <phoneticPr fontId="2" type="noConversion"/>
  </si>
  <si>
    <t>60,000원*1명*2일 (대표선발전)</t>
    <phoneticPr fontId="2" type="noConversion"/>
  </si>
  <si>
    <t>선발전</t>
    <phoneticPr fontId="2" type="noConversion"/>
  </si>
  <si>
    <t>30,000원*3명*1일 (대표선발전)</t>
    <phoneticPr fontId="2" type="noConversion"/>
  </si>
  <si>
    <t>(7,000원*64식)+5,000원 (대표선발전)</t>
    <phoneticPr fontId="2" type="noConversion"/>
  </si>
  <si>
    <t>유류비</t>
    <phoneticPr fontId="2" type="noConversion"/>
  </si>
  <si>
    <t>모터보트유류비 (대표선발전)</t>
    <phoneticPr fontId="2" type="noConversion"/>
  </si>
  <si>
    <t>(후보 상해보험가입 156명)+(대표 상해보험 가입 159명)</t>
    <phoneticPr fontId="2" type="noConversion"/>
  </si>
  <si>
    <t>연맹 차량운영비 (대표선발전)</t>
    <phoneticPr fontId="2" type="noConversion"/>
  </si>
  <si>
    <t>1,500,000원*1일 (대표선발전)</t>
    <phoneticPr fontId="2" type="noConversion"/>
  </si>
  <si>
    <t>국제대회비</t>
    <phoneticPr fontId="2" type="noConversion"/>
  </si>
  <si>
    <t>아시아</t>
    <phoneticPr fontId="2" type="noConversion"/>
  </si>
  <si>
    <t>선수권</t>
    <phoneticPr fontId="2" type="noConversion"/>
  </si>
  <si>
    <t>대회</t>
    <phoneticPr fontId="2" type="noConversion"/>
  </si>
  <si>
    <t>각종수수료</t>
    <phoneticPr fontId="2" type="noConversion"/>
  </si>
  <si>
    <t>외국인지도자 비자발급비용 및 해외송금수수료</t>
    <phoneticPr fontId="2" type="noConversion"/>
  </si>
  <si>
    <t>국제교류비</t>
    <phoneticPr fontId="2" type="noConversion"/>
  </si>
  <si>
    <t>소계</t>
    <phoneticPr fontId="2" type="noConversion"/>
  </si>
  <si>
    <t>한·일</t>
    <phoneticPr fontId="2" type="noConversion"/>
  </si>
  <si>
    <t>30,000원*40명*5박</t>
    <phoneticPr fontId="2" type="noConversion"/>
  </si>
  <si>
    <t>우수</t>
    <phoneticPr fontId="2" type="noConversion"/>
  </si>
  <si>
    <t>30,000원*40명*6일</t>
    <phoneticPr fontId="2" type="noConversion"/>
  </si>
  <si>
    <t>청소년</t>
    <phoneticPr fontId="2" type="noConversion"/>
  </si>
  <si>
    <t>5,000원*40명*6일</t>
    <phoneticPr fontId="2" type="noConversion"/>
  </si>
  <si>
    <t>20,000원*40명*1회</t>
    <phoneticPr fontId="2" type="noConversion"/>
  </si>
  <si>
    <t>교류</t>
    <phoneticPr fontId="2" type="noConversion"/>
  </si>
  <si>
    <t>60,000원*1명*6일</t>
    <phoneticPr fontId="2" type="noConversion"/>
  </si>
  <si>
    <t>(초청)</t>
    <phoneticPr fontId="2" type="noConversion"/>
  </si>
  <si>
    <t>10,000원*40명*1회</t>
    <phoneticPr fontId="2" type="noConversion"/>
  </si>
  <si>
    <t>250,000원*2대*6일</t>
    <phoneticPr fontId="2" type="noConversion"/>
  </si>
  <si>
    <t>경기정임차비</t>
    <phoneticPr fontId="2" type="noConversion"/>
  </si>
  <si>
    <t>60,000원*30대</t>
    <phoneticPr fontId="2" type="noConversion"/>
  </si>
  <si>
    <t>200,000원*2개</t>
    <phoneticPr fontId="2" type="noConversion"/>
  </si>
  <si>
    <t>850,000원*2회</t>
    <phoneticPr fontId="2" type="noConversion"/>
  </si>
  <si>
    <t>300,000원*2회</t>
    <phoneticPr fontId="2" type="noConversion"/>
  </si>
  <si>
    <t>50,000원*5명*6일</t>
    <phoneticPr fontId="2" type="noConversion"/>
  </si>
  <si>
    <t>450,000원*2회</t>
    <phoneticPr fontId="2" type="noConversion"/>
  </si>
  <si>
    <t>국가대표</t>
    <phoneticPr fontId="2" type="noConversion"/>
  </si>
  <si>
    <t>(448,000원*9명)+(FOC 28,000원*1명)</t>
    <phoneticPr fontId="2" type="noConversion"/>
  </si>
  <si>
    <t>10,000원*20명*6일</t>
    <phoneticPr fontId="2" type="noConversion"/>
  </si>
  <si>
    <t>30,000원*5명*6일</t>
    <phoneticPr fontId="2" type="noConversion"/>
  </si>
  <si>
    <t>12,000원*15명*6일</t>
    <phoneticPr fontId="2" type="noConversion"/>
  </si>
  <si>
    <t>100,000원*20명</t>
    <phoneticPr fontId="2" type="noConversion"/>
  </si>
  <si>
    <t>(파견)</t>
    <phoneticPr fontId="2" type="noConversion"/>
  </si>
  <si>
    <t>10,000원*20명</t>
    <phoneticPr fontId="2" type="noConversion"/>
  </si>
  <si>
    <t>여행자보험료</t>
    <phoneticPr fontId="2" type="noConversion"/>
  </si>
  <si>
    <t>100,000원*2개</t>
    <phoneticPr fontId="2" type="noConversion"/>
  </si>
  <si>
    <t>선물비</t>
    <phoneticPr fontId="2" type="noConversion"/>
  </si>
  <si>
    <t>항공수하물</t>
    <phoneticPr fontId="2" type="noConversion"/>
  </si>
  <si>
    <t>국외</t>
    <phoneticPr fontId="2" type="noConversion"/>
  </si>
  <si>
    <t>정보수집</t>
    <phoneticPr fontId="2" type="noConversion"/>
  </si>
  <si>
    <t>$100*1,100원*8박</t>
    <phoneticPr fontId="2" type="noConversion"/>
  </si>
  <si>
    <t>$59*1,100원*9일</t>
    <phoneticPr fontId="2" type="noConversion"/>
  </si>
  <si>
    <t>$26*1,100원*9일</t>
    <phoneticPr fontId="2" type="noConversion"/>
  </si>
  <si>
    <t>아시아</t>
    <phoneticPr fontId="2" type="noConversion"/>
  </si>
  <si>
    <t>카누연맹</t>
    <phoneticPr fontId="2" type="noConversion"/>
  </si>
  <si>
    <t>994,700원*2명</t>
    <phoneticPr fontId="2" type="noConversion"/>
  </si>
  <si>
    <t>정기총회</t>
    <phoneticPr fontId="2" type="noConversion"/>
  </si>
  <si>
    <t>$90*2명*5박*1,188원</t>
    <phoneticPr fontId="2" type="noConversion"/>
  </si>
  <si>
    <t>파견</t>
    <phoneticPr fontId="2" type="noConversion"/>
  </si>
  <si>
    <t>$37*2명*6일*1,155.64원</t>
    <phoneticPr fontId="2" type="noConversion"/>
  </si>
  <si>
    <t>(임원)</t>
    <phoneticPr fontId="2" type="noConversion"/>
  </si>
  <si>
    <t>$26*2명*6일*1,155.64원</t>
    <phoneticPr fontId="2" type="noConversion"/>
  </si>
  <si>
    <t>항공료</t>
    <phoneticPr fontId="2" type="noConversion"/>
  </si>
  <si>
    <t>560,000원*2명 (아시아카누연맹 회장 면담)</t>
    <phoneticPr fontId="2" type="noConversion"/>
  </si>
  <si>
    <t>홍보비</t>
    <phoneticPr fontId="2" type="noConversion"/>
  </si>
  <si>
    <t>명함제작비</t>
    <phoneticPr fontId="2" type="noConversion"/>
  </si>
  <si>
    <t>선물비</t>
    <phoneticPr fontId="2" type="noConversion"/>
  </si>
  <si>
    <t>카누연맹</t>
    <phoneticPr fontId="2" type="noConversion"/>
  </si>
  <si>
    <t>994,700원*1명</t>
    <phoneticPr fontId="2" type="noConversion"/>
  </si>
  <si>
    <t>정기총회</t>
    <phoneticPr fontId="2" type="noConversion"/>
  </si>
  <si>
    <t>$90*1명*2박*1,188원</t>
    <phoneticPr fontId="2" type="noConversion"/>
  </si>
  <si>
    <t>파견</t>
    <phoneticPr fontId="2" type="noConversion"/>
  </si>
  <si>
    <t>$37*1명*3일*1,155.64원</t>
    <phoneticPr fontId="2" type="noConversion"/>
  </si>
  <si>
    <t>(국제인력)</t>
    <phoneticPr fontId="2" type="noConversion"/>
  </si>
  <si>
    <t>$26*1명*3일*1,155.64원</t>
    <phoneticPr fontId="2" type="noConversion"/>
  </si>
  <si>
    <t>국제인력</t>
    <phoneticPr fontId="2" type="noConversion"/>
  </si>
  <si>
    <t>국제대회</t>
    <phoneticPr fontId="2" type="noConversion"/>
  </si>
  <si>
    <t>항공료</t>
    <phoneticPr fontId="2" type="noConversion"/>
  </si>
  <si>
    <t>파견</t>
    <phoneticPr fontId="2" type="noConversion"/>
  </si>
  <si>
    <t>숙박비</t>
    <phoneticPr fontId="2" type="noConversion"/>
  </si>
  <si>
    <t>$123*8박*1,157.78원</t>
    <phoneticPr fontId="2" type="noConversion"/>
  </si>
  <si>
    <t>(세계선수권)</t>
    <phoneticPr fontId="2" type="noConversion"/>
  </si>
  <si>
    <t>식비</t>
    <phoneticPr fontId="2" type="noConversion"/>
  </si>
  <si>
    <t>$49*9일*1,149.02원</t>
    <phoneticPr fontId="2" type="noConversion"/>
  </si>
  <si>
    <t>일비</t>
    <phoneticPr fontId="2" type="noConversion"/>
  </si>
  <si>
    <t>$26*9일*1,149.02원</t>
    <phoneticPr fontId="2" type="noConversion"/>
  </si>
  <si>
    <t>세계선수권</t>
    <phoneticPr fontId="2" type="noConversion"/>
  </si>
  <si>
    <t>임원파견</t>
    <phoneticPr fontId="2" type="noConversion"/>
  </si>
  <si>
    <t>(994,700원*1명)+(995,000원*1명)</t>
    <phoneticPr fontId="2" type="noConversion"/>
  </si>
  <si>
    <t>(779,500원*2명)+(799,800원*2명)</t>
    <phoneticPr fontId="2" type="noConversion"/>
  </si>
  <si>
    <t>$148*1,188원</t>
    <phoneticPr fontId="2" type="noConversion"/>
  </si>
  <si>
    <t>선수강화</t>
    <phoneticPr fontId="2" type="noConversion"/>
  </si>
  <si>
    <t>훈련비</t>
    <phoneticPr fontId="2" type="noConversion"/>
  </si>
  <si>
    <t>스프린트</t>
    <phoneticPr fontId="2" type="noConversion"/>
  </si>
  <si>
    <t>대표선수</t>
    <phoneticPr fontId="2" type="noConversion"/>
  </si>
  <si>
    <t>대표팀 3월~11월 숙박비</t>
    <phoneticPr fontId="2" type="noConversion"/>
  </si>
  <si>
    <t>강화훈련</t>
    <phoneticPr fontId="2" type="noConversion"/>
  </si>
  <si>
    <t>물리치료사 4월~12월 숙박비</t>
    <phoneticPr fontId="2" type="noConversion"/>
  </si>
  <si>
    <t>대표팀 3월~11월 급식비</t>
    <phoneticPr fontId="2" type="noConversion"/>
  </si>
  <si>
    <t>물리치료사 4월~12월 급식비</t>
    <phoneticPr fontId="2" type="noConversion"/>
  </si>
  <si>
    <t>대표팀 2월~12월 선수수당</t>
    <phoneticPr fontId="2" type="noConversion"/>
  </si>
  <si>
    <t>선수 및 지도자, 물리치료사 피복비</t>
    <phoneticPr fontId="2" type="noConversion"/>
  </si>
  <si>
    <t>500,500원*8회(왕복)</t>
    <phoneticPr fontId="2" type="noConversion"/>
  </si>
  <si>
    <t>훈련용품,물리치료용품 및 대표팀 노트북구입</t>
    <phoneticPr fontId="2" type="noConversion"/>
  </si>
  <si>
    <t>1월~12월 대표팀 차량운영비 (유류,톨비,수리비,보험료 등)</t>
    <phoneticPr fontId="2" type="noConversion"/>
  </si>
  <si>
    <t>무직장 5,000,000원*11개월*1명</t>
    <phoneticPr fontId="2" type="noConversion"/>
  </si>
  <si>
    <t>무직장 (2,500,000원*1개월*1명)+(5,000,000원*10개월*1명)</t>
    <phoneticPr fontId="2" type="noConversion"/>
  </si>
  <si>
    <t>유직장 4,500,000원*11개월*1명</t>
    <phoneticPr fontId="2" type="noConversion"/>
  </si>
  <si>
    <t>수당보전(연금,건강보험 지원) 471,760원*12개월</t>
    <phoneticPr fontId="2" type="noConversion"/>
  </si>
  <si>
    <t>외국인지도자 수당보전 500,000원*11개월*1명</t>
    <phoneticPr fontId="2" type="noConversion"/>
  </si>
  <si>
    <t>1월 무급월 코치수당보전 4,300,000원*2명</t>
    <phoneticPr fontId="2" type="noConversion"/>
  </si>
  <si>
    <t>1,798,000원*5개월*3명</t>
    <phoneticPr fontId="2" type="noConversion"/>
  </si>
  <si>
    <t>300,000원*11개월*1명</t>
    <phoneticPr fontId="2" type="noConversion"/>
  </si>
  <si>
    <t>500,000원*12개월*1명</t>
    <phoneticPr fontId="2" type="noConversion"/>
  </si>
  <si>
    <t>물리치료사 연금,건강,고용보험료 회사부담금 지원</t>
    <phoneticPr fontId="2" type="noConversion"/>
  </si>
  <si>
    <t>외국인지도자 연금,건강보험료 회사부담금 지원(2명)</t>
    <phoneticPr fontId="2" type="noConversion"/>
  </si>
  <si>
    <t>훈련용품비</t>
    <phoneticPr fontId="2" type="noConversion"/>
  </si>
  <si>
    <t>패들구입비</t>
    <phoneticPr fontId="2" type="noConversion"/>
  </si>
  <si>
    <t>6월~8월 숙박비 해외송금수수료</t>
    <phoneticPr fontId="2" type="noConversion"/>
  </si>
  <si>
    <t>국외</t>
    <phoneticPr fontId="2" type="noConversion"/>
  </si>
  <si>
    <t>항공료</t>
    <phoneticPr fontId="2" type="noConversion"/>
  </si>
  <si>
    <t>전지훈련</t>
    <phoneticPr fontId="2" type="noConversion"/>
  </si>
  <si>
    <t>숙식비</t>
    <phoneticPr fontId="2" type="noConversion"/>
  </si>
  <si>
    <t>(1차)</t>
    <phoneticPr fontId="2" type="noConversion"/>
  </si>
  <si>
    <t>숙박비</t>
    <phoneticPr fontId="2" type="noConversion"/>
  </si>
  <si>
    <t>(EUR5,494*1,254원)+(EUR1,211*1,262원 중)</t>
    <phoneticPr fontId="2" type="noConversion"/>
  </si>
  <si>
    <t>식비</t>
    <phoneticPr fontId="2" type="noConversion"/>
  </si>
  <si>
    <t>일비</t>
    <phoneticPr fontId="2" type="noConversion"/>
  </si>
  <si>
    <t>체재비</t>
    <phoneticPr fontId="2" type="noConversion"/>
  </si>
  <si>
    <t>대회참가비</t>
    <phoneticPr fontId="2" type="noConversion"/>
  </si>
  <si>
    <t>경기정운송비</t>
    <phoneticPr fontId="2" type="noConversion"/>
  </si>
  <si>
    <t>경기정렌탈비</t>
    <phoneticPr fontId="2" type="noConversion"/>
  </si>
  <si>
    <t>기타</t>
    <phoneticPr fontId="2" type="noConversion"/>
  </si>
  <si>
    <t>해외송금수수료</t>
    <phoneticPr fontId="2" type="noConversion"/>
  </si>
  <si>
    <t>계</t>
    <phoneticPr fontId="2" type="noConversion"/>
  </si>
  <si>
    <t>항공료</t>
    <phoneticPr fontId="2" type="noConversion"/>
  </si>
  <si>
    <t>583,000원×16명</t>
  </si>
  <si>
    <t>숙박비</t>
    <phoneticPr fontId="2" type="noConversion"/>
  </si>
  <si>
    <t>($67×14명×20박×1,171원)+($67×2명×15박×1,171원)</t>
  </si>
  <si>
    <t>(3차)</t>
    <phoneticPr fontId="2" type="noConversion"/>
  </si>
  <si>
    <t>식비</t>
    <phoneticPr fontId="2" type="noConversion"/>
  </si>
  <si>
    <t>($43×14명×21일×1,171원)+($43×2명×16일×1,171원)</t>
  </si>
  <si>
    <t>일비</t>
    <phoneticPr fontId="2" type="noConversion"/>
  </si>
  <si>
    <t>($10×14명×21일×1,100원)+($10×2명×16일×1,100원)</t>
  </si>
  <si>
    <t>해외송금수수료</t>
    <phoneticPr fontId="2" type="noConversion"/>
  </si>
  <si>
    <t>슬라럼</t>
    <phoneticPr fontId="2" type="noConversion"/>
  </si>
  <si>
    <t>대표선수</t>
    <phoneticPr fontId="2" type="noConversion"/>
  </si>
  <si>
    <t>대표팀 3월~11월 숙박비</t>
    <phoneticPr fontId="2" type="noConversion"/>
  </si>
  <si>
    <t>강화훈련</t>
    <phoneticPr fontId="2" type="noConversion"/>
  </si>
  <si>
    <t>대표팀 3월~11월 급식비</t>
    <phoneticPr fontId="2" type="noConversion"/>
  </si>
  <si>
    <t>대표팀 2월~12월 선수수당</t>
    <phoneticPr fontId="2" type="noConversion"/>
  </si>
  <si>
    <t>선수 및 지도자 피복비</t>
    <phoneticPr fontId="2" type="noConversion"/>
  </si>
  <si>
    <t>123,750원*8회(왕복)</t>
    <phoneticPr fontId="2" type="noConversion"/>
  </si>
  <si>
    <t>훈련용품, 물리치료용품, 훈련코스 설치비용 및 대표팀 노트북구입</t>
    <phoneticPr fontId="2" type="noConversion"/>
  </si>
  <si>
    <t>4월~11월 대표팀 차량운영비 (유류,톨비,수리비,보험료 등)</t>
    <phoneticPr fontId="2" type="noConversion"/>
  </si>
  <si>
    <t>무직장 5,000,000원*9개월*1명</t>
    <phoneticPr fontId="2" type="noConversion"/>
  </si>
  <si>
    <t>외국인지도자 수당보전 500,000원*9개월*1명</t>
    <phoneticPr fontId="2" type="noConversion"/>
  </si>
  <si>
    <t>외국인지도자 연금,건강보험료 회사부담금 지원(1명)</t>
    <phoneticPr fontId="2" type="noConversion"/>
  </si>
  <si>
    <t>현지활동비</t>
    <phoneticPr fontId="2" type="noConversion"/>
  </si>
  <si>
    <t>(EUR760*1,312원)+식비75,135원</t>
    <phoneticPr fontId="2" type="noConversion"/>
  </si>
  <si>
    <t>클럽가입비</t>
    <phoneticPr fontId="2" type="noConversion"/>
  </si>
  <si>
    <t>차량운영비</t>
    <phoneticPr fontId="2" type="noConversion"/>
  </si>
  <si>
    <t>(현지차량렌트비 290파운드*1,855원)+차량 연료비 및 통행료</t>
    <phoneticPr fontId="2" type="noConversion"/>
  </si>
  <si>
    <t>경기정운송비</t>
    <phoneticPr fontId="2" type="noConversion"/>
  </si>
  <si>
    <t>2,164,000원×5명</t>
  </si>
  <si>
    <t>$67×5명×20박×1,100원 중</t>
  </si>
  <si>
    <t>(2차)</t>
    <phoneticPr fontId="2" type="noConversion"/>
  </si>
  <si>
    <t>$43×5명×21일×1,100원</t>
  </si>
  <si>
    <t>$10×5명×21일×1,100원</t>
  </si>
  <si>
    <t>경기정운송비(항공수하물)</t>
  </si>
  <si>
    <t>차량렌트비</t>
    <phoneticPr fontId="2" type="noConversion"/>
  </si>
  <si>
    <t>현지 차량렌트비</t>
  </si>
  <si>
    <t>현지 차량운영비</t>
  </si>
  <si>
    <t>합숙훈련</t>
    <phoneticPr fontId="2" type="noConversion"/>
  </si>
  <si>
    <t>(동계)</t>
    <phoneticPr fontId="2" type="noConversion"/>
  </si>
  <si>
    <t>구명자켓구입비</t>
    <phoneticPr fontId="2" type="noConversion"/>
  </si>
  <si>
    <t>800,000원*3개</t>
    <phoneticPr fontId="2" type="noConversion"/>
  </si>
  <si>
    <t>훈련선수수당</t>
    <phoneticPr fontId="2" type="noConversion"/>
  </si>
  <si>
    <t>전문지도자수당</t>
    <phoneticPr fontId="2" type="noConversion"/>
  </si>
  <si>
    <t>(하계)</t>
    <phoneticPr fontId="2" type="noConversion"/>
  </si>
  <si>
    <t>현수막제작비</t>
    <phoneticPr fontId="2" type="noConversion"/>
  </si>
  <si>
    <t>모터보트임차비</t>
    <phoneticPr fontId="2" type="noConversion"/>
  </si>
  <si>
    <t>유류비</t>
    <phoneticPr fontId="2" type="noConversion"/>
  </si>
  <si>
    <t>5,000원*3통*18일*3대</t>
    <phoneticPr fontId="2" type="noConversion"/>
  </si>
  <si>
    <t>모터보트운송비</t>
    <phoneticPr fontId="2" type="noConversion"/>
  </si>
  <si>
    <t>(EUR9,100*1,212원)+(EUR2,320*1,219원)</t>
    <phoneticPr fontId="2" type="noConversion"/>
  </si>
  <si>
    <t>유니폼구입비</t>
    <phoneticPr fontId="2" type="noConversion"/>
  </si>
  <si>
    <t>청소년</t>
    <phoneticPr fontId="2" type="noConversion"/>
  </si>
  <si>
    <t>대표</t>
    <phoneticPr fontId="2" type="noConversion"/>
  </si>
  <si>
    <t>국내훈련</t>
    <phoneticPr fontId="2" type="noConversion"/>
  </si>
  <si>
    <t>(연간)</t>
    <phoneticPr fontId="2" type="noConversion"/>
  </si>
  <si>
    <t>지도자수당</t>
    <phoneticPr fontId="2" type="noConversion"/>
  </si>
  <si>
    <t>모터보트임차료</t>
    <phoneticPr fontId="2" type="noConversion"/>
  </si>
  <si>
    <t>경기정운반비</t>
    <phoneticPr fontId="2" type="noConversion"/>
  </si>
  <si>
    <t>500,000원*2회</t>
    <phoneticPr fontId="2" type="noConversion"/>
  </si>
  <si>
    <t>모터보트운반비</t>
    <phoneticPr fontId="2" type="noConversion"/>
  </si>
  <si>
    <t>여행자보험료</t>
    <phoneticPr fontId="2" type="noConversion"/>
  </si>
  <si>
    <t>외국인</t>
    <phoneticPr fontId="2" type="noConversion"/>
  </si>
  <si>
    <t>코치</t>
    <phoneticPr fontId="2" type="noConversion"/>
  </si>
  <si>
    <t>코치수당</t>
    <phoneticPr fontId="2" type="noConversion"/>
  </si>
  <si>
    <t>$4,500*1,100원*6개월*1명</t>
    <phoneticPr fontId="2" type="noConversion"/>
  </si>
  <si>
    <t>초청사업</t>
    <phoneticPr fontId="2" type="noConversion"/>
  </si>
  <si>
    <t>항공료 지원</t>
    <phoneticPr fontId="2" type="noConversion"/>
  </si>
  <si>
    <t>조직관리비</t>
    <phoneticPr fontId="2" type="noConversion"/>
  </si>
  <si>
    <t>조직관리비</t>
    <phoneticPr fontId="2" type="noConversion"/>
  </si>
  <si>
    <t>이사회</t>
    <phoneticPr fontId="2" type="noConversion"/>
  </si>
  <si>
    <t>100,000원*12명</t>
    <phoneticPr fontId="2" type="noConversion"/>
  </si>
  <si>
    <t>66,000원*1개</t>
    <phoneticPr fontId="2" type="noConversion"/>
  </si>
  <si>
    <t>예결산서 3,300원*150부</t>
    <phoneticPr fontId="2" type="noConversion"/>
  </si>
  <si>
    <t>거리별 차등지급</t>
    <phoneticPr fontId="2" type="noConversion"/>
  </si>
  <si>
    <t>대의원</t>
    <phoneticPr fontId="2" type="noConversion"/>
  </si>
  <si>
    <t>총회</t>
    <phoneticPr fontId="2" type="noConversion"/>
  </si>
  <si>
    <t>100,000원*13명</t>
    <phoneticPr fontId="2" type="noConversion"/>
  </si>
  <si>
    <t>찬조</t>
    <phoneticPr fontId="2" type="noConversion"/>
  </si>
  <si>
    <t>생수구입비</t>
    <phoneticPr fontId="2" type="noConversion"/>
  </si>
  <si>
    <t>분과</t>
    <phoneticPr fontId="2" type="noConversion"/>
  </si>
  <si>
    <t>위원회</t>
    <phoneticPr fontId="2" type="noConversion"/>
  </si>
  <si>
    <t>지도자</t>
    <phoneticPr fontId="2" type="noConversion"/>
  </si>
  <si>
    <t>양성비</t>
    <phoneticPr fontId="2" type="noConversion"/>
  </si>
  <si>
    <t>200,000원*2명</t>
  </si>
  <si>
    <t>심판강습회</t>
    <phoneticPr fontId="2" type="noConversion"/>
  </si>
  <si>
    <t>60,000원*2일*1명</t>
  </si>
  <si>
    <t>교재인쇄 4,950원*100부</t>
  </si>
  <si>
    <t>66,000원*1개</t>
  </si>
  <si>
    <t>(40,000원*31실)+(50,000원*8실)+(60,000원*4실)</t>
  </si>
  <si>
    <t>(7,000원*75명)+6,800원+다과류 99,140원</t>
    <phoneticPr fontId="2" type="noConversion"/>
  </si>
  <si>
    <t>유류비 194,000원+하이패스충전비 50,000원</t>
  </si>
  <si>
    <t>대관료</t>
    <phoneticPr fontId="2" type="noConversion"/>
  </si>
  <si>
    <t>(90,000원*1실)+(60,000원*1실)</t>
  </si>
  <si>
    <t>강습회</t>
    <phoneticPr fontId="2" type="noConversion"/>
  </si>
  <si>
    <t>강사비</t>
    <phoneticPr fontId="2" type="noConversion"/>
  </si>
  <si>
    <t>300,000원*1명</t>
    <phoneticPr fontId="2" type="noConversion"/>
  </si>
  <si>
    <t>경기보급비</t>
    <phoneticPr fontId="2" type="noConversion"/>
  </si>
  <si>
    <t>시도지부지원금</t>
    <phoneticPr fontId="2" type="noConversion"/>
  </si>
  <si>
    <t>3,000,000원*14개시도</t>
  </si>
  <si>
    <t>경기정구입비</t>
    <phoneticPr fontId="2" type="noConversion"/>
  </si>
  <si>
    <t>슬라럼경기정 1,100,000원*15대</t>
  </si>
  <si>
    <t>사업비</t>
    <phoneticPr fontId="2" type="noConversion"/>
  </si>
  <si>
    <t>미지급금</t>
    <phoneticPr fontId="2" type="noConversion"/>
  </si>
  <si>
    <t>2014년도 사업비잔액 반납금액 등 미지급금</t>
    <phoneticPr fontId="2" type="noConversion"/>
  </si>
  <si>
    <t>선급금</t>
    <phoneticPr fontId="2" type="noConversion"/>
  </si>
  <si>
    <t>법인세 선급금</t>
    <phoneticPr fontId="2" type="noConversion"/>
  </si>
  <si>
    <t>단기차입상환</t>
    <phoneticPr fontId="2" type="noConversion"/>
  </si>
  <si>
    <t>단기차입금 변제</t>
    <phoneticPr fontId="2" type="noConversion"/>
  </si>
  <si>
    <t>차기이월금</t>
    <phoneticPr fontId="2" type="noConversion"/>
  </si>
  <si>
    <t xml:space="preserve"> </t>
    <phoneticPr fontId="2" type="noConversion"/>
  </si>
  <si>
    <t>잔액이월금</t>
    <phoneticPr fontId="2" type="noConversion"/>
  </si>
  <si>
    <t>합계</t>
    <phoneticPr fontId="2" type="noConversion"/>
  </si>
  <si>
    <t xml:space="preserve"> 지출 결산서</t>
    <phoneticPr fontId="2" type="noConversion"/>
  </si>
  <si>
    <t>2015년 예산</t>
    <phoneticPr fontId="2" type="noConversion"/>
  </si>
  <si>
    <t>2015년 결산</t>
    <phoneticPr fontId="2" type="noConversion"/>
  </si>
  <si>
    <t>국제교류사업</t>
    <phoneticPr fontId="2" type="noConversion"/>
  </si>
  <si>
    <t>경기력지원비</t>
    <phoneticPr fontId="2" type="noConversion"/>
  </si>
  <si>
    <t>기금운용수익</t>
    <phoneticPr fontId="2" type="noConversion"/>
  </si>
  <si>
    <t>국내대회</t>
    <phoneticPr fontId="2" type="noConversion"/>
  </si>
  <si>
    <t>인턴지원사업 인건비</t>
    <phoneticPr fontId="2" type="noConversion"/>
  </si>
  <si>
    <t>법인세 환급금</t>
    <phoneticPr fontId="2" type="noConversion"/>
  </si>
  <si>
    <t>공인료</t>
    <phoneticPr fontId="2" type="noConversion"/>
  </si>
  <si>
    <t>기탁금</t>
    <phoneticPr fontId="2" type="noConversion"/>
  </si>
  <si>
    <t>소계</t>
    <phoneticPr fontId="2" type="noConversion"/>
  </si>
  <si>
    <t>기탁금</t>
    <phoneticPr fontId="2" type="noConversion"/>
  </si>
  <si>
    <t>기타수입</t>
    <phoneticPr fontId="2" type="noConversion"/>
  </si>
  <si>
    <t>2015년 결산</t>
    <phoneticPr fontId="2" type="noConversion"/>
  </si>
  <si>
    <t>비품수선비</t>
  </si>
  <si>
    <t>인쇄출판비</t>
  </si>
  <si>
    <t>경조사비</t>
  </si>
  <si>
    <t>사무실운영비</t>
  </si>
  <si>
    <t>청소비</t>
  </si>
  <si>
    <t>패제작비</t>
  </si>
  <si>
    <t>시상품제작비</t>
  </si>
  <si>
    <t>통신비</t>
  </si>
  <si>
    <t>회비</t>
  </si>
  <si>
    <t>각종수수료</t>
  </si>
  <si>
    <t>세무대행수수료</t>
  </si>
  <si>
    <t>보험료</t>
  </si>
  <si>
    <t>유지보수비</t>
  </si>
  <si>
    <t>복사기임차료</t>
  </si>
  <si>
    <t>국내출장비</t>
  </si>
  <si>
    <t>PC렌탈료</t>
  </si>
  <si>
    <t>기타</t>
  </si>
  <si>
    <t>초과수당</t>
    <phoneticPr fontId="2" type="noConversion"/>
  </si>
  <si>
    <t>제32회 회장배 전국카누경기대회</t>
    <phoneticPr fontId="2" type="noConversion"/>
  </si>
  <si>
    <t>제44회 전국소년체육대회</t>
    <phoneticPr fontId="2" type="noConversion"/>
  </si>
  <si>
    <t>제14회 파로호배 전국카누경기대회</t>
    <phoneticPr fontId="2" type="noConversion"/>
  </si>
  <si>
    <t>제9회 국민체육진흥공단이사장배 전국카누경기대회</t>
    <phoneticPr fontId="2" type="noConversion"/>
  </si>
  <si>
    <t>제11회 국민체육진훙공단이사장배 전국 카누슬라럼 및 용선대회</t>
    <phoneticPr fontId="2" type="noConversion"/>
  </si>
  <si>
    <t>제33회 전국카누선수권대회</t>
    <phoneticPr fontId="2" type="noConversion"/>
  </si>
  <si>
    <t>제10회 전국해양스포츠제전</t>
    <phoneticPr fontId="2" type="noConversion"/>
  </si>
  <si>
    <t>제11회 백마강배 전국카누경기대회</t>
    <phoneticPr fontId="2" type="noConversion"/>
  </si>
  <si>
    <t>제96회 전국체육대회</t>
    <phoneticPr fontId="2" type="noConversion"/>
  </si>
  <si>
    <t>2015 스프린트 국가대표 및 후보선수 선발전</t>
    <phoneticPr fontId="2" type="noConversion"/>
  </si>
  <si>
    <t>국제대회비</t>
    <phoneticPr fontId="2" type="noConversion"/>
  </si>
  <si>
    <t>스프린트 아시아선수권대회</t>
    <phoneticPr fontId="2" type="noConversion"/>
  </si>
  <si>
    <t>국제교류비</t>
    <phoneticPr fontId="2" type="noConversion"/>
  </si>
  <si>
    <t>국가대표 한일 우수청소년 스포츠교류(초청)</t>
    <phoneticPr fontId="2" type="noConversion"/>
  </si>
  <si>
    <t>국가대표 한일 우수청소년 스포츠교류(파견)</t>
    <phoneticPr fontId="2" type="noConversion"/>
  </si>
  <si>
    <t>국외정보수집</t>
    <phoneticPr fontId="2" type="noConversion"/>
  </si>
  <si>
    <t>아시아카누연맹 정기총회 파견(임원)</t>
    <phoneticPr fontId="2" type="noConversion"/>
  </si>
  <si>
    <t>아시아카누연맹 정기총회 파견(국제인력)</t>
    <phoneticPr fontId="2" type="noConversion"/>
  </si>
  <si>
    <t>국제인력 국제대회 파견(세계선수권)</t>
    <phoneticPr fontId="2" type="noConversion"/>
  </si>
  <si>
    <t>세계선수권대회 임원 파견</t>
    <phoneticPr fontId="2" type="noConversion"/>
  </si>
  <si>
    <t>아시아선수권대회 임원 파견</t>
    <phoneticPr fontId="2" type="noConversion"/>
  </si>
  <si>
    <t>선수강화훈련비</t>
    <phoneticPr fontId="2" type="noConversion"/>
  </si>
  <si>
    <t>스프린트 대표선수 강화훈련</t>
    <phoneticPr fontId="2" type="noConversion"/>
  </si>
  <si>
    <t>스프린트 국외전지훈련(1차)</t>
    <phoneticPr fontId="2" type="noConversion"/>
  </si>
  <si>
    <t>스프린트 국외전지훈련(3차)</t>
    <phoneticPr fontId="2" type="noConversion"/>
  </si>
  <si>
    <t>슬라럼 대표선수 강화훈련</t>
    <phoneticPr fontId="2" type="noConversion"/>
  </si>
  <si>
    <t>슬라럼 국외전지훈련(1차)</t>
    <phoneticPr fontId="2" type="noConversion"/>
  </si>
  <si>
    <t>국가대표 후보선수 합숙훈련(동계)</t>
    <phoneticPr fontId="2" type="noConversion"/>
  </si>
  <si>
    <t>국가대표 후보선수 합숙훈련(하계)</t>
    <phoneticPr fontId="2" type="noConversion"/>
  </si>
  <si>
    <t>국가대표 후보선수 국외전지훈련</t>
    <phoneticPr fontId="2" type="noConversion"/>
  </si>
  <si>
    <t>청소년대표 국내훈련(연간사업)</t>
    <phoneticPr fontId="2" type="noConversion"/>
  </si>
  <si>
    <t>청소년대표 국외전지훈련</t>
    <phoneticPr fontId="2" type="noConversion"/>
  </si>
  <si>
    <t>외국인코치 초청사업</t>
    <phoneticPr fontId="2" type="noConversion"/>
  </si>
  <si>
    <t>이사회</t>
    <phoneticPr fontId="2" type="noConversion"/>
  </si>
  <si>
    <t>대의원총회</t>
    <phoneticPr fontId="2" type="noConversion"/>
  </si>
  <si>
    <t>분과위원회</t>
    <phoneticPr fontId="2" type="noConversion"/>
  </si>
  <si>
    <t>지도자양성비</t>
    <phoneticPr fontId="2" type="noConversion"/>
  </si>
  <si>
    <t>지도자 및 심판강습회</t>
    <phoneticPr fontId="2" type="noConversion"/>
  </si>
  <si>
    <t>슬라럼 강습회</t>
    <phoneticPr fontId="2" type="noConversion"/>
  </si>
  <si>
    <t>경기보급비</t>
    <phoneticPr fontId="2" type="noConversion"/>
  </si>
  <si>
    <t>경기보급비(경기정구입,시도지부지원금)</t>
    <phoneticPr fontId="2" type="noConversion"/>
  </si>
  <si>
    <t>사업비</t>
    <phoneticPr fontId="2" type="noConversion"/>
  </si>
  <si>
    <t>2014년도 사업비 미지급금</t>
    <phoneticPr fontId="2" type="noConversion"/>
  </si>
  <si>
    <t>2015년 법인세 선급금</t>
    <phoneticPr fontId="2" type="noConversion"/>
  </si>
  <si>
    <t>단기차입금 상환</t>
    <phoneticPr fontId="2" type="noConversion"/>
  </si>
  <si>
    <t>기탁금</t>
    <phoneticPr fontId="2" type="noConversion"/>
  </si>
  <si>
    <t>국제 대회비</t>
    <phoneticPr fontId="2" type="noConversion"/>
  </si>
  <si>
    <t>국제 교류비</t>
    <phoneticPr fontId="2" type="noConversion"/>
  </si>
  <si>
    <t>선수강화훈련비</t>
    <phoneticPr fontId="2" type="noConversion"/>
  </si>
  <si>
    <t>조직관리비</t>
    <phoneticPr fontId="2" type="noConversion"/>
  </si>
  <si>
    <t>지도자양성비</t>
    <phoneticPr fontId="2" type="noConversion"/>
  </si>
  <si>
    <t>경기보급비</t>
    <phoneticPr fontId="2" type="noConversion"/>
  </si>
  <si>
    <t>미지급금</t>
    <phoneticPr fontId="2" type="noConversion"/>
  </si>
  <si>
    <t>선급금(법인세)</t>
    <phoneticPr fontId="2" type="noConversion"/>
  </si>
  <si>
    <t>단기차입상환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</si>
</sst>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-&quot;₩&quot;* #,##0_-;\-&quot;₩&quot;* #,##0_-;_-&quot;₩&quot;* &quot;-&quot;_-;_-@_-"/>
    <numFmt numFmtId="41" formatCode="_-* #,##0_-;\-* #,##0_-;_-* &quot;-&quot;_-;_-@_-"/>
    <numFmt numFmtId="176" formatCode="_(* #,##0_);_(* \(#,##0\);_(* &quot;-&quot;_);_(@_)"/>
    <numFmt numFmtId="177" formatCode="0.0%"/>
    <numFmt numFmtId="178" formatCode="0_ "/>
    <numFmt numFmtId="179" formatCode="#,##0_);[Red]\(#,##0\)"/>
    <numFmt numFmtId="180" formatCode="#,##0_);\(#,##0\)"/>
  </numFmts>
  <fonts count="25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b/>
      <sz val="20"/>
      <name val="돋움"/>
      <family val="3"/>
      <charset val="129"/>
    </font>
    <font>
      <sz val="10"/>
      <name val="돋움"/>
      <family val="3"/>
      <charset val="129"/>
    </font>
    <font>
      <sz val="10"/>
      <color indexed="10"/>
      <name val="돋움"/>
      <family val="3"/>
      <charset val="129"/>
    </font>
    <font>
      <sz val="10"/>
      <color indexed="9"/>
      <name val="돋움"/>
      <family val="3"/>
      <charset val="129"/>
    </font>
    <font>
      <sz val="8"/>
      <color indexed="9"/>
      <name val="돋움"/>
      <family val="3"/>
      <charset val="129"/>
    </font>
    <font>
      <sz val="10"/>
      <color indexed="8"/>
      <name val="돋움"/>
      <family val="3"/>
      <charset val="129"/>
    </font>
    <font>
      <sz val="9"/>
      <name val="돋움"/>
      <family val="3"/>
      <charset val="129"/>
    </font>
    <font>
      <b/>
      <sz val="10"/>
      <name val="돋움"/>
      <family val="3"/>
      <charset val="129"/>
    </font>
    <font>
      <sz val="7"/>
      <name val="돋움"/>
      <family val="3"/>
      <charset val="129"/>
    </font>
    <font>
      <sz val="9"/>
      <color indexed="8"/>
      <name val="돋움"/>
      <family val="3"/>
      <charset val="129"/>
    </font>
    <font>
      <sz val="6"/>
      <name val="돋움"/>
      <family val="3"/>
      <charset val="129"/>
    </font>
    <font>
      <sz val="10"/>
      <name val="HY헤드라인M"/>
      <family val="1"/>
      <charset val="129"/>
    </font>
    <font>
      <sz val="11"/>
      <name val="바탕"/>
      <family val="1"/>
      <charset val="129"/>
    </font>
    <font>
      <b/>
      <sz val="20"/>
      <name val="바탕"/>
      <family val="1"/>
      <charset val="129"/>
    </font>
    <font>
      <b/>
      <sz val="10"/>
      <name val="바탕"/>
      <family val="1"/>
      <charset val="129"/>
    </font>
    <font>
      <sz val="10"/>
      <name val="바탕"/>
      <family val="1"/>
      <charset val="129"/>
    </font>
    <font>
      <sz val="12"/>
      <name val="바탕"/>
      <family val="1"/>
      <charset val="129"/>
    </font>
    <font>
      <sz val="10"/>
      <color indexed="8"/>
      <name val="바탕"/>
      <family val="1"/>
      <charset val="129"/>
    </font>
    <font>
      <sz val="9"/>
      <name val="바탕"/>
      <family val="1"/>
      <charset val="129"/>
    </font>
    <font>
      <sz val="16"/>
      <name val="HY헤드라인M"/>
      <family val="1"/>
      <charset val="129"/>
    </font>
    <font>
      <sz val="20"/>
      <name val="HY헤드라인M"/>
      <family val="1"/>
      <charset val="129"/>
    </font>
    <font>
      <b/>
      <sz val="10"/>
      <color indexed="8"/>
      <name val="돋움"/>
      <family val="3"/>
      <charset val="129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6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1" fillId="0" borderId="0"/>
  </cellStyleXfs>
  <cellXfs count="483">
    <xf numFmtId="0" fontId="0" fillId="0" borderId="0" xfId="0">
      <alignment vertical="center"/>
    </xf>
    <xf numFmtId="41" fontId="4" fillId="0" borderId="0" xfId="1" applyFont="1" applyFill="1" applyBorder="1" applyAlignment="1">
      <alignment vertical="center"/>
    </xf>
    <xf numFmtId="0" fontId="4" fillId="0" borderId="0" xfId="5" applyFont="1" applyFill="1" applyBorder="1" applyAlignment="1">
      <alignment vertical="center"/>
    </xf>
    <xf numFmtId="0" fontId="4" fillId="0" borderId="0" xfId="5" applyFont="1" applyFill="1" applyAlignment="1">
      <alignment horizontal="center" vertical="center" shrinkToFit="1"/>
    </xf>
    <xf numFmtId="49" fontId="4" fillId="0" borderId="0" xfId="5" applyNumberFormat="1" applyFont="1" applyFill="1" applyAlignment="1">
      <alignment vertical="center"/>
    </xf>
    <xf numFmtId="0" fontId="4" fillId="0" borderId="0" xfId="5" applyFont="1" applyFill="1" applyAlignment="1">
      <alignment horizontal="right" vertical="center" shrinkToFit="1"/>
    </xf>
    <xf numFmtId="0" fontId="4" fillId="0" borderId="1" xfId="5" applyFont="1" applyFill="1" applyBorder="1" applyAlignment="1">
      <alignment horizontal="center" vertical="center" shrinkToFit="1"/>
    </xf>
    <xf numFmtId="0" fontId="4" fillId="0" borderId="2" xfId="5" applyFont="1" applyFill="1" applyBorder="1" applyAlignment="1">
      <alignment horizontal="center" vertical="center" shrinkToFit="1"/>
    </xf>
    <xf numFmtId="49" fontId="4" fillId="0" borderId="3" xfId="5" applyNumberFormat="1" applyFont="1" applyFill="1" applyBorder="1" applyAlignment="1">
      <alignment vertical="center"/>
    </xf>
    <xf numFmtId="0" fontId="4" fillId="0" borderId="4" xfId="5" applyFont="1" applyFill="1" applyBorder="1" applyAlignment="1">
      <alignment horizontal="right" vertical="center" shrinkToFit="1"/>
    </xf>
    <xf numFmtId="49" fontId="4" fillId="0" borderId="5" xfId="5" applyNumberFormat="1" applyFont="1" applyFill="1" applyBorder="1" applyAlignment="1">
      <alignment vertical="center"/>
    </xf>
    <xf numFmtId="0" fontId="4" fillId="0" borderId="0" xfId="5" applyFont="1" applyFill="1" applyBorder="1" applyAlignment="1">
      <alignment horizontal="right" vertical="center" shrinkToFit="1"/>
    </xf>
    <xf numFmtId="0" fontId="4" fillId="0" borderId="6" xfId="5" applyFont="1" applyFill="1" applyBorder="1" applyAlignment="1">
      <alignment horizontal="center" vertical="center" shrinkToFit="1"/>
    </xf>
    <xf numFmtId="49" fontId="4" fillId="0" borderId="7" xfId="5" applyNumberFormat="1" applyFont="1" applyFill="1" applyBorder="1" applyAlignment="1">
      <alignment vertical="center"/>
    </xf>
    <xf numFmtId="0" fontId="4" fillId="0" borderId="8" xfId="5" applyFont="1" applyFill="1" applyBorder="1" applyAlignment="1">
      <alignment horizontal="right" vertical="center" shrinkToFit="1"/>
    </xf>
    <xf numFmtId="49" fontId="4" fillId="0" borderId="9" xfId="5" applyNumberFormat="1" applyFont="1" applyFill="1" applyBorder="1" applyAlignment="1">
      <alignment vertical="center"/>
    </xf>
    <xf numFmtId="0" fontId="4" fillId="0" borderId="10" xfId="5" applyFont="1" applyFill="1" applyBorder="1" applyAlignment="1">
      <alignment horizontal="right" vertical="center" shrinkToFit="1"/>
    </xf>
    <xf numFmtId="3" fontId="4" fillId="0" borderId="8" xfId="5" applyNumberFormat="1" applyFont="1" applyFill="1" applyBorder="1" applyAlignment="1">
      <alignment horizontal="right" vertical="center" shrinkToFit="1"/>
    </xf>
    <xf numFmtId="0" fontId="4" fillId="0" borderId="11" xfId="5" applyFont="1" applyFill="1" applyBorder="1" applyAlignment="1">
      <alignment horizontal="center" vertical="center" shrinkToFit="1"/>
    </xf>
    <xf numFmtId="49" fontId="4" fillId="0" borderId="8" xfId="5" applyNumberFormat="1" applyFont="1" applyFill="1" applyBorder="1" applyAlignment="1">
      <alignment horizontal="right" vertical="center" shrinkToFit="1"/>
    </xf>
    <xf numFmtId="49" fontId="4" fillId="0" borderId="0" xfId="5" applyNumberFormat="1" applyFont="1" applyFill="1" applyBorder="1" applyAlignment="1">
      <alignment horizontal="right" vertical="center" shrinkToFit="1"/>
    </xf>
    <xf numFmtId="49" fontId="4" fillId="0" borderId="4" xfId="5" applyNumberFormat="1" applyFont="1" applyFill="1" applyBorder="1" applyAlignment="1">
      <alignment horizontal="right" vertical="center" shrinkToFit="1"/>
    </xf>
    <xf numFmtId="0" fontId="4" fillId="0" borderId="0" xfId="5" applyFont="1" applyFill="1" applyAlignment="1">
      <alignment vertical="center"/>
    </xf>
    <xf numFmtId="0" fontId="4" fillId="0" borderId="0" xfId="5" applyFont="1" applyFill="1" applyBorder="1" applyAlignment="1">
      <alignment horizontal="center" vertical="center" shrinkToFit="1"/>
    </xf>
    <xf numFmtId="49" fontId="4" fillId="0" borderId="5" xfId="5" applyNumberFormat="1" applyFont="1" applyFill="1" applyBorder="1" applyAlignment="1">
      <alignment vertical="center" shrinkToFit="1"/>
    </xf>
    <xf numFmtId="49" fontId="4" fillId="0" borderId="3" xfId="5" applyNumberFormat="1" applyFont="1" applyFill="1" applyBorder="1" applyAlignment="1">
      <alignment vertical="center" shrinkToFit="1"/>
    </xf>
    <xf numFmtId="41" fontId="4" fillId="0" borderId="2" xfId="1" applyFont="1" applyFill="1" applyBorder="1" applyAlignment="1">
      <alignment vertical="center"/>
    </xf>
    <xf numFmtId="49" fontId="4" fillId="0" borderId="10" xfId="5" applyNumberFormat="1" applyFont="1" applyFill="1" applyBorder="1" applyAlignment="1">
      <alignment horizontal="right" vertical="center" shrinkToFit="1"/>
    </xf>
    <xf numFmtId="49" fontId="4" fillId="0" borderId="9" xfId="5" applyNumberFormat="1" applyFont="1" applyFill="1" applyBorder="1" applyAlignment="1">
      <alignment horizontal="left" vertical="center"/>
    </xf>
    <xf numFmtId="49" fontId="4" fillId="0" borderId="5" xfId="5" applyNumberFormat="1" applyFont="1" applyFill="1" applyBorder="1" applyAlignment="1">
      <alignment horizontal="left" vertical="center"/>
    </xf>
    <xf numFmtId="49" fontId="4" fillId="0" borderId="3" xfId="5" applyNumberFormat="1" applyFont="1" applyFill="1" applyBorder="1" applyAlignment="1">
      <alignment horizontal="left" vertical="center"/>
    </xf>
    <xf numFmtId="41" fontId="4" fillId="0" borderId="12" xfId="1" applyFont="1" applyFill="1" applyBorder="1" applyAlignment="1">
      <alignment vertical="center"/>
    </xf>
    <xf numFmtId="49" fontId="4" fillId="0" borderId="9" xfId="5" applyNumberFormat="1" applyFont="1" applyFill="1" applyBorder="1" applyAlignment="1">
      <alignment vertical="center" shrinkToFit="1"/>
    </xf>
    <xf numFmtId="0" fontId="4" fillId="0" borderId="13" xfId="5" applyFont="1" applyFill="1" applyBorder="1" applyAlignment="1">
      <alignment horizontal="center" vertical="center" shrinkToFit="1"/>
    </xf>
    <xf numFmtId="0" fontId="4" fillId="0" borderId="14" xfId="5" applyFont="1" applyFill="1" applyBorder="1" applyAlignment="1">
      <alignment horizontal="center" vertical="center" shrinkToFit="1"/>
    </xf>
    <xf numFmtId="49" fontId="4" fillId="0" borderId="15" xfId="5" applyNumberFormat="1" applyFont="1" applyFill="1" applyBorder="1" applyAlignment="1">
      <alignment vertical="center"/>
    </xf>
    <xf numFmtId="0" fontId="4" fillId="0" borderId="16" xfId="5" applyFont="1" applyFill="1" applyBorder="1" applyAlignment="1">
      <alignment horizontal="right" vertical="center" shrinkToFit="1"/>
    </xf>
    <xf numFmtId="176" fontId="4" fillId="0" borderId="0" xfId="3" applyFont="1" applyFill="1" applyAlignment="1">
      <alignment vertical="center"/>
    </xf>
    <xf numFmtId="0" fontId="4" fillId="0" borderId="0" xfId="5" applyFont="1" applyFill="1" applyAlignment="1">
      <alignment horizontal="right" vertical="center"/>
    </xf>
    <xf numFmtId="176" fontId="4" fillId="0" borderId="1" xfId="3" applyFont="1" applyFill="1" applyBorder="1" applyAlignment="1">
      <alignment vertical="center"/>
    </xf>
    <xf numFmtId="0" fontId="4" fillId="0" borderId="4" xfId="5" applyFont="1" applyFill="1" applyBorder="1" applyAlignment="1">
      <alignment horizontal="right" vertical="center"/>
    </xf>
    <xf numFmtId="176" fontId="4" fillId="0" borderId="2" xfId="3" applyFont="1" applyFill="1" applyBorder="1" applyAlignment="1">
      <alignment vertical="center"/>
    </xf>
    <xf numFmtId="0" fontId="4" fillId="0" borderId="0" xfId="5" applyFont="1" applyFill="1" applyBorder="1" applyAlignment="1">
      <alignment horizontal="right" vertical="center"/>
    </xf>
    <xf numFmtId="176" fontId="4" fillId="0" borderId="6" xfId="3" applyFont="1" applyFill="1" applyBorder="1" applyAlignment="1">
      <alignment vertical="center"/>
    </xf>
    <xf numFmtId="0" fontId="4" fillId="0" borderId="8" xfId="5" applyFont="1" applyFill="1" applyBorder="1" applyAlignment="1">
      <alignment horizontal="right" vertical="center"/>
    </xf>
    <xf numFmtId="176" fontId="4" fillId="0" borderId="11" xfId="3" applyFont="1" applyFill="1" applyBorder="1" applyAlignment="1">
      <alignment vertical="center"/>
    </xf>
    <xf numFmtId="0" fontId="4" fillId="0" borderId="10" xfId="5" applyFont="1" applyFill="1" applyBorder="1" applyAlignment="1">
      <alignment horizontal="right" vertical="center"/>
    </xf>
    <xf numFmtId="176" fontId="4" fillId="0" borderId="14" xfId="3" applyFont="1" applyFill="1" applyBorder="1" applyAlignment="1">
      <alignment vertical="center"/>
    </xf>
    <xf numFmtId="0" fontId="4" fillId="0" borderId="16" xfId="5" applyFont="1" applyFill="1" applyBorder="1" applyAlignment="1">
      <alignment horizontal="right" vertical="center"/>
    </xf>
    <xf numFmtId="176" fontId="4" fillId="0" borderId="0" xfId="3" applyFont="1" applyFill="1" applyBorder="1" applyAlignment="1">
      <alignment vertical="center"/>
    </xf>
    <xf numFmtId="49" fontId="4" fillId="0" borderId="0" xfId="5" applyNumberFormat="1" applyFont="1" applyFill="1" applyBorder="1" applyAlignment="1">
      <alignment vertical="center"/>
    </xf>
    <xf numFmtId="41" fontId="4" fillId="0" borderId="6" xfId="1" applyFont="1" applyFill="1" applyBorder="1" applyAlignment="1">
      <alignment vertical="center"/>
    </xf>
    <xf numFmtId="41" fontId="4" fillId="0" borderId="0" xfId="5" applyNumberFormat="1" applyFont="1" applyFill="1" applyBorder="1" applyAlignment="1">
      <alignment vertical="center"/>
    </xf>
    <xf numFmtId="41" fontId="4" fillId="0" borderId="1" xfId="1" applyFont="1" applyFill="1" applyBorder="1" applyAlignment="1">
      <alignment vertical="center"/>
    </xf>
    <xf numFmtId="0" fontId="4" fillId="0" borderId="17" xfId="5" applyFont="1" applyFill="1" applyBorder="1" applyAlignment="1">
      <alignment horizontal="center" vertical="center" shrinkToFit="1"/>
    </xf>
    <xf numFmtId="3" fontId="4" fillId="0" borderId="0" xfId="4" applyNumberFormat="1" applyFont="1" applyFill="1" applyAlignment="1">
      <alignment horizontal="right" vertical="center"/>
    </xf>
    <xf numFmtId="3" fontId="4" fillId="0" borderId="17" xfId="4" applyNumberFormat="1" applyFont="1" applyFill="1" applyBorder="1" applyAlignment="1">
      <alignment vertical="center"/>
    </xf>
    <xf numFmtId="3" fontId="4" fillId="0" borderId="18" xfId="4" applyNumberFormat="1" applyFont="1" applyFill="1" applyBorder="1" applyAlignment="1">
      <alignment vertical="center"/>
    </xf>
    <xf numFmtId="3" fontId="4" fillId="0" borderId="12" xfId="4" applyNumberFormat="1" applyFont="1" applyFill="1" applyBorder="1" applyAlignment="1">
      <alignment vertical="center"/>
    </xf>
    <xf numFmtId="3" fontId="4" fillId="0" borderId="19" xfId="4" applyNumberFormat="1" applyFont="1" applyFill="1" applyBorder="1" applyAlignment="1">
      <alignment vertical="center"/>
    </xf>
    <xf numFmtId="3" fontId="4" fillId="0" borderId="12" xfId="2" applyNumberFormat="1" applyFont="1" applyFill="1" applyBorder="1" applyAlignment="1">
      <alignment vertical="center"/>
    </xf>
    <xf numFmtId="3" fontId="4" fillId="0" borderId="18" xfId="2" applyNumberFormat="1" applyFont="1" applyFill="1" applyBorder="1" applyAlignment="1">
      <alignment vertical="center"/>
    </xf>
    <xf numFmtId="3" fontId="4" fillId="0" borderId="17" xfId="2" applyNumberFormat="1" applyFont="1" applyFill="1" applyBorder="1" applyAlignment="1">
      <alignment vertical="center"/>
    </xf>
    <xf numFmtId="3" fontId="4" fillId="0" borderId="19" xfId="2" applyNumberFormat="1" applyFont="1" applyFill="1" applyBorder="1" applyAlignment="1">
      <alignment vertical="center"/>
    </xf>
    <xf numFmtId="3" fontId="4" fillId="0" borderId="18" xfId="1" applyNumberFormat="1" applyFont="1" applyFill="1" applyBorder="1" applyAlignment="1">
      <alignment vertical="center"/>
    </xf>
    <xf numFmtId="3" fontId="4" fillId="0" borderId="17" xfId="1" applyNumberFormat="1" applyFont="1" applyFill="1" applyBorder="1" applyAlignment="1">
      <alignment vertical="center"/>
    </xf>
    <xf numFmtId="3" fontId="4" fillId="0" borderId="20" xfId="4" applyNumberFormat="1" applyFont="1" applyFill="1" applyBorder="1" applyAlignment="1">
      <alignment vertical="center"/>
    </xf>
    <xf numFmtId="3" fontId="4" fillId="0" borderId="0" xfId="4" applyNumberFormat="1" applyFont="1" applyFill="1" applyAlignment="1">
      <alignment vertical="center"/>
    </xf>
    <xf numFmtId="41" fontId="4" fillId="0" borderId="0" xfId="1" applyFont="1" applyFill="1" applyAlignment="1">
      <alignment vertical="center"/>
    </xf>
    <xf numFmtId="41" fontId="4" fillId="0" borderId="11" xfId="1" applyFont="1" applyFill="1" applyBorder="1" applyAlignment="1">
      <alignment vertical="center"/>
    </xf>
    <xf numFmtId="41" fontId="4" fillId="0" borderId="14" xfId="1" applyFont="1" applyFill="1" applyBorder="1" applyAlignment="1">
      <alignment vertical="center"/>
    </xf>
    <xf numFmtId="180" fontId="4" fillId="0" borderId="0" xfId="1" applyNumberFormat="1" applyFont="1" applyFill="1" applyAlignment="1">
      <alignment vertical="center"/>
    </xf>
    <xf numFmtId="180" fontId="4" fillId="0" borderId="1" xfId="1" applyNumberFormat="1" applyFont="1" applyFill="1" applyBorder="1" applyAlignment="1">
      <alignment vertical="center"/>
    </xf>
    <xf numFmtId="180" fontId="4" fillId="0" borderId="11" xfId="1" applyNumberFormat="1" applyFont="1" applyFill="1" applyBorder="1" applyAlignment="1">
      <alignment vertical="center"/>
    </xf>
    <xf numFmtId="180" fontId="4" fillId="0" borderId="6" xfId="1" applyNumberFormat="1" applyFont="1" applyFill="1" applyBorder="1" applyAlignment="1">
      <alignment vertical="center"/>
    </xf>
    <xf numFmtId="180" fontId="4" fillId="0" borderId="2" xfId="1" applyNumberFormat="1" applyFont="1" applyFill="1" applyBorder="1" applyAlignment="1">
      <alignment vertical="center"/>
    </xf>
    <xf numFmtId="180" fontId="4" fillId="0" borderId="14" xfId="1" applyNumberFormat="1" applyFont="1" applyFill="1" applyBorder="1" applyAlignment="1">
      <alignment vertical="center"/>
    </xf>
    <xf numFmtId="0" fontId="4" fillId="0" borderId="12" xfId="5" applyFont="1" applyFill="1" applyBorder="1" applyAlignment="1">
      <alignment horizontal="center" vertical="center" shrinkToFit="1"/>
    </xf>
    <xf numFmtId="49" fontId="4" fillId="0" borderId="3" xfId="5" quotePrefix="1" applyNumberFormat="1" applyFont="1" applyFill="1" applyBorder="1" applyAlignment="1">
      <alignment vertical="center"/>
    </xf>
    <xf numFmtId="49" fontId="4" fillId="0" borderId="7" xfId="5" applyNumberFormat="1" applyFont="1" applyFill="1" applyBorder="1" applyAlignment="1">
      <alignment vertical="center" shrinkToFit="1"/>
    </xf>
    <xf numFmtId="180" fontId="4" fillId="0" borderId="0" xfId="3" applyNumberFormat="1" applyFont="1" applyFill="1" applyAlignment="1">
      <alignment vertical="center"/>
    </xf>
    <xf numFmtId="180" fontId="4" fillId="0" borderId="2" xfId="3" applyNumberFormat="1" applyFont="1" applyFill="1" applyBorder="1" applyAlignment="1">
      <alignment vertical="center"/>
    </xf>
    <xf numFmtId="180" fontId="4" fillId="0" borderId="1" xfId="3" applyNumberFormat="1" applyFont="1" applyFill="1" applyBorder="1" applyAlignment="1">
      <alignment vertical="center"/>
    </xf>
    <xf numFmtId="180" fontId="4" fillId="0" borderId="11" xfId="3" applyNumberFormat="1" applyFont="1" applyFill="1" applyBorder="1" applyAlignment="1">
      <alignment vertical="center"/>
    </xf>
    <xf numFmtId="180" fontId="4" fillId="0" borderId="6" xfId="3" applyNumberFormat="1" applyFont="1" applyFill="1" applyBorder="1" applyAlignment="1">
      <alignment vertical="center"/>
    </xf>
    <xf numFmtId="180" fontId="4" fillId="0" borderId="0" xfId="3" applyNumberFormat="1" applyFont="1" applyFill="1" applyBorder="1" applyAlignment="1">
      <alignment vertical="center"/>
    </xf>
    <xf numFmtId="49" fontId="4" fillId="0" borderId="5" xfId="5" quotePrefix="1" applyNumberFormat="1" applyFont="1" applyFill="1" applyBorder="1" applyAlignment="1">
      <alignment vertical="center"/>
    </xf>
    <xf numFmtId="0" fontId="4" fillId="0" borderId="2" xfId="5" applyFont="1" applyFill="1" applyBorder="1" applyAlignment="1">
      <alignment vertical="center"/>
    </xf>
    <xf numFmtId="41" fontId="4" fillId="0" borderId="1" xfId="1" applyFont="1" applyFill="1" applyBorder="1" applyAlignment="1">
      <alignment horizontal="center" vertical="center" shrinkToFit="1"/>
    </xf>
    <xf numFmtId="3" fontId="4" fillId="0" borderId="0" xfId="5" applyNumberFormat="1" applyFont="1" applyFill="1" applyBorder="1" applyAlignment="1">
      <alignment horizontal="right" vertical="center" shrinkToFit="1"/>
    </xf>
    <xf numFmtId="3" fontId="4" fillId="0" borderId="4" xfId="5" applyNumberFormat="1" applyFont="1" applyFill="1" applyBorder="1" applyAlignment="1">
      <alignment horizontal="right" vertical="center" shrinkToFit="1"/>
    </xf>
    <xf numFmtId="41" fontId="5" fillId="0" borderId="1" xfId="1" applyFont="1" applyFill="1" applyBorder="1" applyAlignment="1">
      <alignment vertical="center"/>
    </xf>
    <xf numFmtId="0" fontId="4" fillId="0" borderId="5" xfId="5" applyFont="1" applyFill="1" applyBorder="1" applyAlignment="1">
      <alignment horizontal="center" vertical="center" shrinkToFit="1"/>
    </xf>
    <xf numFmtId="41" fontId="4" fillId="0" borderId="6" xfId="1" applyFont="1" applyFill="1" applyBorder="1" applyAlignment="1">
      <alignment horizontal="center" vertical="center" shrinkToFit="1"/>
    </xf>
    <xf numFmtId="41" fontId="4" fillId="0" borderId="3" xfId="1" applyFont="1" applyFill="1" applyBorder="1" applyAlignment="1">
      <alignment vertical="center"/>
    </xf>
    <xf numFmtId="0" fontId="4" fillId="0" borderId="18" xfId="5" applyFont="1" applyFill="1" applyBorder="1" applyAlignment="1">
      <alignment horizontal="center" vertical="center"/>
    </xf>
    <xf numFmtId="0" fontId="4" fillId="0" borderId="5" xfId="5" applyFont="1" applyFill="1" applyBorder="1" applyAlignment="1">
      <alignment vertical="center"/>
    </xf>
    <xf numFmtId="178" fontId="4" fillId="0" borderId="3" xfId="5" applyNumberFormat="1" applyFont="1" applyFill="1" applyBorder="1" applyAlignment="1">
      <alignment vertical="center"/>
    </xf>
    <xf numFmtId="41" fontId="4" fillId="0" borderId="7" xfId="1" applyFont="1" applyFill="1" applyBorder="1" applyAlignment="1">
      <alignment vertical="center"/>
    </xf>
    <xf numFmtId="0" fontId="4" fillId="0" borderId="8" xfId="5" applyFont="1" applyFill="1" applyBorder="1" applyAlignment="1">
      <alignment vertical="center"/>
    </xf>
    <xf numFmtId="0" fontId="4" fillId="0" borderId="12" xfId="5" applyFont="1" applyFill="1" applyBorder="1" applyAlignment="1">
      <alignment vertical="center"/>
    </xf>
    <xf numFmtId="0" fontId="4" fillId="0" borderId="18" xfId="5" applyFont="1" applyFill="1" applyBorder="1" applyAlignment="1">
      <alignment horizontal="center" vertical="center" shrinkToFit="1"/>
    </xf>
    <xf numFmtId="41" fontId="4" fillId="0" borderId="2" xfId="1" applyFont="1" applyFill="1" applyBorder="1" applyAlignment="1">
      <alignment horizontal="center" vertical="center" shrinkToFit="1"/>
    </xf>
    <xf numFmtId="3" fontId="4" fillId="0" borderId="19" xfId="1" applyNumberFormat="1" applyFont="1" applyFill="1" applyBorder="1" applyAlignment="1">
      <alignment vertical="center"/>
    </xf>
    <xf numFmtId="0" fontId="4" fillId="0" borderId="19" xfId="5" applyFont="1" applyFill="1" applyBorder="1" applyAlignment="1">
      <alignment horizontal="center" vertical="center" shrinkToFit="1"/>
    </xf>
    <xf numFmtId="41" fontId="4" fillId="0" borderId="11" xfId="1" applyFont="1" applyFill="1" applyBorder="1" applyAlignment="1">
      <alignment horizontal="center" vertical="center" shrinkToFit="1"/>
    </xf>
    <xf numFmtId="3" fontId="4" fillId="0" borderId="12" xfId="1" applyNumberFormat="1" applyFont="1" applyFill="1" applyBorder="1" applyAlignment="1">
      <alignment vertical="center"/>
    </xf>
    <xf numFmtId="49" fontId="4" fillId="0" borderId="7" xfId="5" applyNumberFormat="1" applyFont="1" applyFill="1" applyBorder="1" applyAlignment="1">
      <alignment horizontal="left" vertical="center"/>
    </xf>
    <xf numFmtId="176" fontId="4" fillId="0" borderId="12" xfId="4" applyFont="1" applyFill="1" applyBorder="1" applyAlignment="1">
      <alignment vertical="center"/>
    </xf>
    <xf numFmtId="176" fontId="4" fillId="0" borderId="2" xfId="4" applyFont="1" applyFill="1" applyBorder="1" applyAlignment="1">
      <alignment vertical="center"/>
    </xf>
    <xf numFmtId="176" fontId="4" fillId="0" borderId="18" xfId="4" applyNumberFormat="1" applyFont="1" applyFill="1" applyBorder="1" applyAlignment="1">
      <alignment vertical="center"/>
    </xf>
    <xf numFmtId="176" fontId="4" fillId="0" borderId="1" xfId="4" applyFont="1" applyFill="1" applyBorder="1" applyAlignment="1">
      <alignment vertical="center"/>
    </xf>
    <xf numFmtId="176" fontId="4" fillId="0" borderId="17" xfId="4" applyNumberFormat="1" applyFont="1" applyFill="1" applyBorder="1" applyAlignment="1">
      <alignment vertical="center"/>
    </xf>
    <xf numFmtId="176" fontId="4" fillId="0" borderId="6" xfId="4" applyFont="1" applyFill="1" applyBorder="1" applyAlignment="1">
      <alignment vertical="center"/>
    </xf>
    <xf numFmtId="176" fontId="4" fillId="0" borderId="12" xfId="4" applyNumberFormat="1" applyFont="1" applyFill="1" applyBorder="1" applyAlignment="1">
      <alignment vertical="center"/>
    </xf>
    <xf numFmtId="180" fontId="4" fillId="0" borderId="6" xfId="4" applyNumberFormat="1" applyFont="1" applyFill="1" applyBorder="1" applyAlignment="1">
      <alignment vertical="center"/>
    </xf>
    <xf numFmtId="180" fontId="4" fillId="0" borderId="1" xfId="4" applyNumberFormat="1" applyFont="1" applyFill="1" applyBorder="1" applyAlignment="1">
      <alignment vertical="center"/>
    </xf>
    <xf numFmtId="176" fontId="4" fillId="0" borderId="17" xfId="4" applyFont="1" applyFill="1" applyBorder="1" applyAlignment="1">
      <alignment vertical="center"/>
    </xf>
    <xf numFmtId="180" fontId="4" fillId="0" borderId="6" xfId="1" applyNumberFormat="1" applyFont="1" applyFill="1" applyBorder="1" applyAlignment="1">
      <alignment horizontal="center" vertical="center" shrinkToFit="1"/>
    </xf>
    <xf numFmtId="176" fontId="4" fillId="0" borderId="0" xfId="4" applyFont="1" applyFill="1" applyBorder="1" applyAlignment="1">
      <alignment vertical="center"/>
    </xf>
    <xf numFmtId="180" fontId="4" fillId="0" borderId="6" xfId="1" applyNumberFormat="1" applyFont="1" applyFill="1" applyBorder="1" applyAlignment="1">
      <alignment horizontal="right" vertical="center" shrinkToFit="1"/>
    </xf>
    <xf numFmtId="176" fontId="4" fillId="0" borderId="18" xfId="4" applyFont="1" applyFill="1" applyBorder="1" applyAlignment="1">
      <alignment vertical="center"/>
    </xf>
    <xf numFmtId="176" fontId="4" fillId="0" borderId="19" xfId="4" applyFont="1" applyFill="1" applyBorder="1" applyAlignment="1">
      <alignment vertical="center"/>
    </xf>
    <xf numFmtId="176" fontId="4" fillId="0" borderId="4" xfId="4" applyFont="1" applyFill="1" applyBorder="1" applyAlignment="1">
      <alignment vertical="center"/>
    </xf>
    <xf numFmtId="0" fontId="4" fillId="0" borderId="21" xfId="5" applyFont="1" applyFill="1" applyBorder="1" applyAlignment="1">
      <alignment horizontal="center" vertical="center" shrinkToFit="1"/>
    </xf>
    <xf numFmtId="0" fontId="4" fillId="0" borderId="22" xfId="5" applyFont="1" applyFill="1" applyBorder="1" applyAlignment="1">
      <alignment horizontal="right" vertical="center" shrinkToFit="1"/>
    </xf>
    <xf numFmtId="0" fontId="5" fillId="0" borderId="2" xfId="5" applyFont="1" applyFill="1" applyBorder="1" applyAlignment="1">
      <alignment horizontal="center" vertical="center" shrinkToFit="1"/>
    </xf>
    <xf numFmtId="0" fontId="8" fillId="0" borderId="2" xfId="5" applyFont="1" applyFill="1" applyBorder="1" applyAlignment="1">
      <alignment horizontal="center" vertical="center" shrinkToFit="1"/>
    </xf>
    <xf numFmtId="180" fontId="4" fillId="0" borderId="1" xfId="1" applyNumberFormat="1" applyFont="1" applyFill="1" applyBorder="1" applyAlignment="1">
      <alignment horizontal="right" vertical="center" shrinkToFit="1"/>
    </xf>
    <xf numFmtId="180" fontId="4" fillId="0" borderId="11" xfId="1" applyNumberFormat="1" applyFont="1" applyFill="1" applyBorder="1" applyAlignment="1">
      <alignment horizontal="right" vertical="center" shrinkToFit="1"/>
    </xf>
    <xf numFmtId="180" fontId="4" fillId="0" borderId="1" xfId="1" applyNumberFormat="1" applyFont="1" applyFill="1" applyBorder="1" applyAlignment="1">
      <alignment horizontal="center" vertical="center" shrinkToFit="1"/>
    </xf>
    <xf numFmtId="41" fontId="4" fillId="0" borderId="6" xfId="5" applyNumberFormat="1" applyFont="1" applyFill="1" applyBorder="1" applyAlignment="1">
      <alignment horizontal="center" vertical="center" shrinkToFit="1"/>
    </xf>
    <xf numFmtId="180" fontId="4" fillId="0" borderId="11" xfId="1" applyNumberFormat="1" applyFont="1" applyFill="1" applyBorder="1" applyAlignment="1">
      <alignment vertical="center" shrinkToFit="1"/>
    </xf>
    <xf numFmtId="180" fontId="4" fillId="0" borderId="2" xfId="1" applyNumberFormat="1" applyFont="1" applyFill="1" applyBorder="1" applyAlignment="1">
      <alignment vertical="center" shrinkToFit="1"/>
    </xf>
    <xf numFmtId="180" fontId="4" fillId="0" borderId="1" xfId="1" applyNumberFormat="1" applyFont="1" applyFill="1" applyBorder="1" applyAlignment="1">
      <alignment vertical="center" shrinkToFit="1"/>
    </xf>
    <xf numFmtId="180" fontId="4" fillId="0" borderId="6" xfId="1" applyNumberFormat="1" applyFont="1" applyFill="1" applyBorder="1" applyAlignment="1">
      <alignment vertical="center" shrinkToFit="1"/>
    </xf>
    <xf numFmtId="41" fontId="4" fillId="0" borderId="23" xfId="1" applyFont="1" applyFill="1" applyBorder="1" applyAlignment="1">
      <alignment vertical="center"/>
    </xf>
    <xf numFmtId="180" fontId="4" fillId="0" borderId="23" xfId="1" applyNumberFormat="1" applyFont="1" applyFill="1" applyBorder="1" applyAlignment="1">
      <alignment vertical="center"/>
    </xf>
    <xf numFmtId="41" fontId="4" fillId="0" borderId="24" xfId="1" applyFont="1" applyFill="1" applyBorder="1" applyAlignment="1">
      <alignment vertical="center"/>
    </xf>
    <xf numFmtId="0" fontId="4" fillId="0" borderId="25" xfId="5" applyFont="1" applyFill="1" applyBorder="1" applyAlignment="1">
      <alignment horizontal="right" vertical="center" shrinkToFit="1"/>
    </xf>
    <xf numFmtId="3" fontId="4" fillId="0" borderId="26" xfId="4" applyNumberFormat="1" applyFont="1" applyFill="1" applyBorder="1" applyAlignment="1">
      <alignment vertical="center"/>
    </xf>
    <xf numFmtId="41" fontId="4" fillId="0" borderId="21" xfId="1" applyFont="1" applyFill="1" applyBorder="1" applyAlignment="1">
      <alignment vertical="center"/>
    </xf>
    <xf numFmtId="49" fontId="4" fillId="0" borderId="27" xfId="5" applyNumberFormat="1" applyFont="1" applyFill="1" applyBorder="1" applyAlignment="1">
      <alignment vertical="center"/>
    </xf>
    <xf numFmtId="0" fontId="4" fillId="0" borderId="28" xfId="5" applyFont="1" applyFill="1" applyBorder="1" applyAlignment="1">
      <alignment horizontal="right" vertical="center" shrinkToFit="1"/>
    </xf>
    <xf numFmtId="3" fontId="4" fillId="0" borderId="29" xfId="4" applyNumberFormat="1" applyFont="1" applyFill="1" applyBorder="1" applyAlignment="1">
      <alignment vertical="center"/>
    </xf>
    <xf numFmtId="0" fontId="4" fillId="0" borderId="31" xfId="5" applyFont="1" applyFill="1" applyBorder="1" applyAlignment="1">
      <alignment horizontal="center" vertical="center" shrinkToFit="1"/>
    </xf>
    <xf numFmtId="0" fontId="4" fillId="0" borderId="2" xfId="5" quotePrefix="1" applyFont="1" applyFill="1" applyBorder="1" applyAlignment="1">
      <alignment horizontal="center" vertical="center" shrinkToFit="1"/>
    </xf>
    <xf numFmtId="14" fontId="4" fillId="0" borderId="2" xfId="5" quotePrefix="1" applyNumberFormat="1" applyFont="1" applyFill="1" applyBorder="1" applyAlignment="1">
      <alignment horizontal="center" vertical="center" shrinkToFit="1"/>
    </xf>
    <xf numFmtId="41" fontId="4" fillId="0" borderId="17" xfId="5" applyNumberFormat="1" applyFont="1" applyFill="1" applyBorder="1" applyAlignment="1">
      <alignment horizontal="center" vertical="center" shrinkToFit="1"/>
    </xf>
    <xf numFmtId="41" fontId="4" fillId="0" borderId="1" xfId="5" applyNumberFormat="1" applyFont="1" applyFill="1" applyBorder="1" applyAlignment="1">
      <alignment horizontal="center" vertical="center" shrinkToFit="1"/>
    </xf>
    <xf numFmtId="3" fontId="4" fillId="0" borderId="32" xfId="4" applyNumberFormat="1" applyFont="1" applyFill="1" applyBorder="1" applyAlignment="1">
      <alignment vertical="center"/>
    </xf>
    <xf numFmtId="0" fontId="4" fillId="0" borderId="29" xfId="5" applyFont="1" applyFill="1" applyBorder="1" applyAlignment="1">
      <alignment horizontal="center" vertical="center" shrinkToFit="1"/>
    </xf>
    <xf numFmtId="49" fontId="4" fillId="0" borderId="33" xfId="5" applyNumberFormat="1" applyFont="1" applyFill="1" applyBorder="1" applyAlignment="1">
      <alignment vertical="center"/>
    </xf>
    <xf numFmtId="0" fontId="12" fillId="0" borderId="2" xfId="5" applyFont="1" applyFill="1" applyBorder="1" applyAlignment="1">
      <alignment horizontal="center" vertical="center" shrinkToFit="1"/>
    </xf>
    <xf numFmtId="0" fontId="2" fillId="0" borderId="2" xfId="5" applyFont="1" applyFill="1" applyBorder="1" applyAlignment="1">
      <alignment horizontal="center" vertical="center" shrinkToFit="1"/>
    </xf>
    <xf numFmtId="0" fontId="9" fillId="0" borderId="2" xfId="5" applyFont="1" applyFill="1" applyBorder="1" applyAlignment="1">
      <alignment horizontal="center" vertical="center" shrinkToFit="1"/>
    </xf>
    <xf numFmtId="180" fontId="4" fillId="0" borderId="2" xfId="1" applyNumberFormat="1" applyFont="1" applyFill="1" applyBorder="1" applyAlignment="1">
      <alignment horizontal="right" vertical="center" shrinkToFit="1"/>
    </xf>
    <xf numFmtId="180" fontId="4" fillId="0" borderId="21" xfId="1" applyNumberFormat="1" applyFont="1" applyFill="1" applyBorder="1" applyAlignment="1">
      <alignment horizontal="right" vertical="center" shrinkToFit="1"/>
    </xf>
    <xf numFmtId="180" fontId="4" fillId="0" borderId="14" xfId="1" applyNumberFormat="1" applyFont="1" applyFill="1" applyBorder="1" applyAlignment="1">
      <alignment horizontal="right" vertical="center" shrinkToFit="1"/>
    </xf>
    <xf numFmtId="180" fontId="4" fillId="0" borderId="23" xfId="1" applyNumberFormat="1" applyFont="1" applyFill="1" applyBorder="1" applyAlignment="1">
      <alignment horizontal="right" vertical="center" shrinkToFit="1"/>
    </xf>
    <xf numFmtId="49" fontId="4" fillId="0" borderId="28" xfId="5" applyNumberFormat="1" applyFont="1" applyFill="1" applyBorder="1" applyAlignment="1">
      <alignment horizontal="right" vertical="center" shrinkToFit="1"/>
    </xf>
    <xf numFmtId="180" fontId="4" fillId="0" borderId="21" xfId="1" applyNumberFormat="1" applyFont="1" applyFill="1" applyBorder="1" applyAlignment="1">
      <alignment vertical="center" shrinkToFit="1"/>
    </xf>
    <xf numFmtId="0" fontId="4" fillId="0" borderId="35" xfId="5" applyFont="1" applyFill="1" applyBorder="1" applyAlignment="1">
      <alignment horizontal="center" vertical="center" shrinkToFit="1"/>
    </xf>
    <xf numFmtId="180" fontId="4" fillId="0" borderId="21" xfId="1" applyNumberFormat="1" applyFont="1" applyFill="1" applyBorder="1" applyAlignment="1">
      <alignment vertical="center"/>
    </xf>
    <xf numFmtId="0" fontId="8" fillId="0" borderId="31" xfId="5" applyFont="1" applyFill="1" applyBorder="1" applyAlignment="1">
      <alignment horizontal="center" vertical="center" shrinkToFit="1"/>
    </xf>
    <xf numFmtId="41" fontId="4" fillId="0" borderId="31" xfId="1" applyFont="1" applyFill="1" applyBorder="1" applyAlignment="1">
      <alignment vertical="center"/>
    </xf>
    <xf numFmtId="180" fontId="4" fillId="0" borderId="31" xfId="1" applyNumberFormat="1" applyFont="1" applyFill="1" applyBorder="1" applyAlignment="1">
      <alignment horizontal="right" vertical="center" shrinkToFit="1"/>
    </xf>
    <xf numFmtId="3" fontId="4" fillId="0" borderId="36" xfId="4" applyNumberFormat="1" applyFont="1" applyFill="1" applyBorder="1" applyAlignment="1">
      <alignment vertical="center"/>
    </xf>
    <xf numFmtId="179" fontId="4" fillId="0" borderId="12" xfId="1" applyNumberFormat="1" applyFont="1" applyFill="1" applyBorder="1" applyAlignment="1">
      <alignment vertical="center"/>
    </xf>
    <xf numFmtId="179" fontId="4" fillId="0" borderId="17" xfId="1" applyNumberFormat="1" applyFont="1" applyFill="1" applyBorder="1" applyAlignment="1">
      <alignment vertical="center"/>
    </xf>
    <xf numFmtId="179" fontId="4" fillId="0" borderId="18" xfId="1" applyNumberFormat="1" applyFont="1" applyFill="1" applyBorder="1" applyAlignment="1">
      <alignment vertical="center"/>
    </xf>
    <xf numFmtId="179" fontId="4" fillId="0" borderId="18" xfId="4" applyNumberFormat="1" applyFont="1" applyFill="1" applyBorder="1" applyAlignment="1">
      <alignment vertical="center"/>
    </xf>
    <xf numFmtId="179" fontId="4" fillId="0" borderId="17" xfId="4" applyNumberFormat="1" applyFont="1" applyFill="1" applyBorder="1" applyAlignment="1">
      <alignment vertical="center"/>
    </xf>
    <xf numFmtId="179" fontId="4" fillId="0" borderId="19" xfId="1" applyNumberFormat="1" applyFont="1" applyFill="1" applyBorder="1" applyAlignment="1">
      <alignment vertical="center"/>
    </xf>
    <xf numFmtId="180" fontId="13" fillId="0" borderId="11" xfId="1" applyNumberFormat="1" applyFont="1" applyFill="1" applyBorder="1" applyAlignment="1">
      <alignment vertical="center"/>
    </xf>
    <xf numFmtId="176" fontId="4" fillId="0" borderId="26" xfId="4" applyFont="1" applyFill="1" applyBorder="1" applyAlignment="1">
      <alignment vertical="center"/>
    </xf>
    <xf numFmtId="49" fontId="4" fillId="0" borderId="24" xfId="5" applyNumberFormat="1" applyFont="1" applyFill="1" applyBorder="1" applyAlignment="1">
      <alignment vertical="center"/>
    </xf>
    <xf numFmtId="180" fontId="4" fillId="0" borderId="23" xfId="4" applyNumberFormat="1" applyFont="1" applyFill="1" applyBorder="1" applyAlignment="1">
      <alignment vertical="center"/>
    </xf>
    <xf numFmtId="49" fontId="4" fillId="0" borderId="25" xfId="5" applyNumberFormat="1" applyFont="1" applyFill="1" applyBorder="1" applyAlignment="1">
      <alignment horizontal="right" vertical="center" shrinkToFit="1"/>
    </xf>
    <xf numFmtId="3" fontId="4" fillId="0" borderId="26" xfId="2" applyNumberFormat="1" applyFont="1" applyFill="1" applyBorder="1" applyAlignment="1">
      <alignment vertical="center"/>
    </xf>
    <xf numFmtId="180" fontId="9" fillId="0" borderId="23" xfId="1" applyNumberFormat="1" applyFont="1" applyFill="1" applyBorder="1" applyAlignment="1">
      <alignment vertical="center"/>
    </xf>
    <xf numFmtId="180" fontId="4" fillId="0" borderId="26" xfId="1" applyNumberFormat="1" applyFont="1" applyFill="1" applyBorder="1" applyAlignment="1">
      <alignment vertical="center"/>
    </xf>
    <xf numFmtId="49" fontId="4" fillId="0" borderId="24" xfId="5" applyNumberFormat="1" applyFont="1" applyFill="1" applyBorder="1" applyAlignment="1">
      <alignment horizontal="left" vertical="center"/>
    </xf>
    <xf numFmtId="3" fontId="4" fillId="0" borderId="26" xfId="1" applyNumberFormat="1" applyFont="1" applyFill="1" applyBorder="1" applyAlignment="1">
      <alignment vertical="center"/>
    </xf>
    <xf numFmtId="180" fontId="4" fillId="0" borderId="23" xfId="1" applyNumberFormat="1" applyFont="1" applyFill="1" applyBorder="1" applyAlignment="1">
      <alignment vertical="center" shrinkToFit="1"/>
    </xf>
    <xf numFmtId="49" fontId="4" fillId="0" borderId="22" xfId="5" applyNumberFormat="1" applyFont="1" applyFill="1" applyBorder="1" applyAlignment="1">
      <alignment horizontal="right" vertical="center" shrinkToFit="1"/>
    </xf>
    <xf numFmtId="176" fontId="4" fillId="0" borderId="32" xfId="3" applyFont="1" applyFill="1" applyBorder="1" applyAlignment="1">
      <alignment vertical="center"/>
    </xf>
    <xf numFmtId="179" fontId="4" fillId="0" borderId="32" xfId="1" applyNumberFormat="1" applyFont="1" applyFill="1" applyBorder="1" applyAlignment="1">
      <alignment vertical="center"/>
    </xf>
    <xf numFmtId="41" fontId="4" fillId="0" borderId="29" xfId="5" applyNumberFormat="1" applyFont="1" applyFill="1" applyBorder="1" applyAlignment="1">
      <alignment horizontal="center" vertical="center" shrinkToFit="1"/>
    </xf>
    <xf numFmtId="49" fontId="4" fillId="0" borderId="27" xfId="5" applyNumberFormat="1" applyFont="1" applyFill="1" applyBorder="1" applyAlignment="1">
      <alignment horizontal="left" vertical="center"/>
    </xf>
    <xf numFmtId="3" fontId="4" fillId="0" borderId="29" xfId="1" applyNumberFormat="1" applyFont="1" applyFill="1" applyBorder="1" applyAlignment="1">
      <alignment vertical="center"/>
    </xf>
    <xf numFmtId="0" fontId="15" fillId="0" borderId="0" xfId="0" applyFont="1">
      <alignment vertical="center"/>
    </xf>
    <xf numFmtId="0" fontId="16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8" fillId="0" borderId="0" xfId="0" applyFont="1">
      <alignment vertical="center"/>
    </xf>
    <xf numFmtId="0" fontId="18" fillId="0" borderId="0" xfId="0" applyFont="1" applyAlignment="1">
      <alignment horizontal="right" vertical="center"/>
    </xf>
    <xf numFmtId="0" fontId="17" fillId="0" borderId="21" xfId="0" applyFont="1" applyFill="1" applyBorder="1" applyAlignment="1">
      <alignment horizontal="center" vertical="center" wrapText="1"/>
    </xf>
    <xf numFmtId="0" fontId="17" fillId="0" borderId="27" xfId="0" applyFont="1" applyFill="1" applyBorder="1" applyAlignment="1">
      <alignment horizontal="center" vertical="center"/>
    </xf>
    <xf numFmtId="0" fontId="17" fillId="0" borderId="21" xfId="0" applyFont="1" applyFill="1" applyBorder="1" applyAlignment="1">
      <alignment horizontal="center" vertical="center"/>
    </xf>
    <xf numFmtId="41" fontId="18" fillId="0" borderId="3" xfId="0" applyNumberFormat="1" applyFont="1" applyBorder="1" applyAlignment="1">
      <alignment horizontal="center" vertical="center"/>
    </xf>
    <xf numFmtId="41" fontId="18" fillId="0" borderId="7" xfId="0" applyNumberFormat="1" applyFont="1" applyBorder="1" applyAlignment="1">
      <alignment horizontal="center" vertical="center"/>
    </xf>
    <xf numFmtId="41" fontId="18" fillId="0" borderId="9" xfId="0" applyNumberFormat="1" applyFont="1" applyBorder="1" applyAlignment="1">
      <alignment horizontal="center" vertical="center"/>
    </xf>
    <xf numFmtId="41" fontId="18" fillId="0" borderId="38" xfId="0" applyNumberFormat="1" applyFont="1" applyBorder="1" applyAlignment="1">
      <alignment horizontal="center" vertical="center"/>
    </xf>
    <xf numFmtId="41" fontId="18" fillId="0" borderId="27" xfId="0" applyNumberFormat="1" applyFont="1" applyBorder="1" applyAlignment="1">
      <alignment horizontal="center" vertical="center"/>
    </xf>
    <xf numFmtId="0" fontId="19" fillId="0" borderId="0" xfId="0" applyFont="1" applyAlignment="1">
      <alignment horizontal="justify" vertical="center"/>
    </xf>
    <xf numFmtId="0" fontId="19" fillId="0" borderId="0" xfId="0" applyFont="1">
      <alignment vertical="center"/>
    </xf>
    <xf numFmtId="0" fontId="18" fillId="0" borderId="0" xfId="5" applyFont="1" applyFill="1" applyBorder="1" applyAlignment="1">
      <alignment vertical="center"/>
    </xf>
    <xf numFmtId="0" fontId="18" fillId="0" borderId="0" xfId="5" applyFont="1" applyFill="1" applyAlignment="1">
      <alignment horizontal="center" vertical="center" shrinkToFit="1"/>
    </xf>
    <xf numFmtId="41" fontId="18" fillId="0" borderId="0" xfId="1" applyFont="1" applyFill="1" applyAlignment="1">
      <alignment vertical="center"/>
    </xf>
    <xf numFmtId="3" fontId="18" fillId="0" borderId="0" xfId="1" applyNumberFormat="1" applyFont="1" applyFill="1" applyAlignment="1">
      <alignment horizontal="right" vertical="center"/>
    </xf>
    <xf numFmtId="0" fontId="17" fillId="0" borderId="11" xfId="5" applyFont="1" applyFill="1" applyBorder="1" applyAlignment="1">
      <alignment horizontal="center" vertical="center" shrinkToFit="1"/>
    </xf>
    <xf numFmtId="0" fontId="17" fillId="0" borderId="2" xfId="5" applyFont="1" applyFill="1" applyBorder="1" applyAlignment="1">
      <alignment horizontal="center" vertical="center" shrinkToFit="1"/>
    </xf>
    <xf numFmtId="0" fontId="18" fillId="0" borderId="31" xfId="5" applyFont="1" applyFill="1" applyBorder="1" applyAlignment="1">
      <alignment horizontal="center" vertical="center" shrinkToFit="1"/>
    </xf>
    <xf numFmtId="0" fontId="18" fillId="0" borderId="14" xfId="5" applyFont="1" applyFill="1" applyBorder="1" applyAlignment="1">
      <alignment horizontal="center" vertical="center" shrinkToFit="1"/>
    </xf>
    <xf numFmtId="0" fontId="18" fillId="0" borderId="2" xfId="5" applyFont="1" applyFill="1" applyBorder="1" applyAlignment="1">
      <alignment horizontal="center" vertical="center" shrinkToFit="1"/>
    </xf>
    <xf numFmtId="41" fontId="18" fillId="0" borderId="23" xfId="1" applyFont="1" applyFill="1" applyBorder="1" applyAlignment="1">
      <alignment vertical="center"/>
    </xf>
    <xf numFmtId="0" fontId="18" fillId="0" borderId="2" xfId="5" applyFont="1" applyFill="1" applyBorder="1" applyAlignment="1">
      <alignment vertical="center" shrinkToFit="1"/>
    </xf>
    <xf numFmtId="41" fontId="18" fillId="0" borderId="6" xfId="1" applyFont="1" applyFill="1" applyBorder="1" applyAlignment="1">
      <alignment vertical="center"/>
    </xf>
    <xf numFmtId="9" fontId="18" fillId="0" borderId="1" xfId="1" applyNumberFormat="1" applyFont="1" applyFill="1" applyBorder="1" applyAlignment="1">
      <alignment horizontal="right" vertical="center" shrinkToFit="1"/>
    </xf>
    <xf numFmtId="0" fontId="20" fillId="0" borderId="2" xfId="5" applyFont="1" applyFill="1" applyBorder="1" applyAlignment="1">
      <alignment vertical="center" shrinkToFit="1"/>
    </xf>
    <xf numFmtId="41" fontId="18" fillId="0" borderId="11" xfId="1" applyFont="1" applyFill="1" applyBorder="1" applyAlignment="1">
      <alignment vertical="center"/>
    </xf>
    <xf numFmtId="0" fontId="18" fillId="0" borderId="30" xfId="5" applyFont="1" applyFill="1" applyBorder="1" applyAlignment="1">
      <alignment vertical="center" shrinkToFit="1"/>
    </xf>
    <xf numFmtId="9" fontId="18" fillId="0" borderId="21" xfId="1" applyNumberFormat="1" applyFont="1" applyFill="1" applyBorder="1" applyAlignment="1">
      <alignment horizontal="right" vertical="center" shrinkToFit="1"/>
    </xf>
    <xf numFmtId="41" fontId="18" fillId="0" borderId="6" xfId="1" applyFont="1" applyFill="1" applyBorder="1" applyAlignment="1">
      <alignment horizontal="center" vertical="center" shrinkToFit="1"/>
    </xf>
    <xf numFmtId="41" fontId="18" fillId="0" borderId="1" xfId="1" applyFont="1" applyFill="1" applyBorder="1" applyAlignment="1">
      <alignment horizontal="center" vertical="center" shrinkToFit="1"/>
    </xf>
    <xf numFmtId="41" fontId="18" fillId="0" borderId="2" xfId="1" applyFont="1" applyFill="1" applyBorder="1" applyAlignment="1">
      <alignment horizontal="center" vertical="center" shrinkToFit="1"/>
    </xf>
    <xf numFmtId="0" fontId="18" fillId="0" borderId="30" xfId="5" applyFont="1" applyFill="1" applyBorder="1" applyAlignment="1">
      <alignment horizontal="center" vertical="center" shrinkToFit="1"/>
    </xf>
    <xf numFmtId="0" fontId="18" fillId="0" borderId="0" xfId="5" applyFont="1" applyFill="1" applyAlignment="1">
      <alignment vertical="center"/>
    </xf>
    <xf numFmtId="41" fontId="18" fillId="0" borderId="21" xfId="1" applyFont="1" applyFill="1" applyBorder="1" applyAlignment="1">
      <alignment vertical="center"/>
    </xf>
    <xf numFmtId="41" fontId="18" fillId="0" borderId="8" xfId="5" applyNumberFormat="1" applyFont="1" applyFill="1" applyBorder="1" applyAlignment="1">
      <alignment horizontal="center" vertical="center" shrinkToFit="1"/>
    </xf>
    <xf numFmtId="9" fontId="18" fillId="0" borderId="23" xfId="1" applyNumberFormat="1" applyFont="1" applyFill="1" applyBorder="1" applyAlignment="1">
      <alignment horizontal="right" vertical="center" shrinkToFit="1"/>
    </xf>
    <xf numFmtId="41" fontId="18" fillId="0" borderId="8" xfId="1" applyFont="1" applyFill="1" applyBorder="1" applyAlignment="1">
      <alignment vertical="center"/>
    </xf>
    <xf numFmtId="41" fontId="18" fillId="0" borderId="1" xfId="1" applyFont="1" applyFill="1" applyBorder="1" applyAlignment="1">
      <alignment vertical="center"/>
    </xf>
    <xf numFmtId="41" fontId="18" fillId="0" borderId="14" xfId="1" applyFont="1" applyFill="1" applyBorder="1" applyAlignment="1">
      <alignment vertical="center"/>
    </xf>
    <xf numFmtId="9" fontId="18" fillId="0" borderId="14" xfId="1" applyNumberFormat="1" applyFont="1" applyFill="1" applyBorder="1" applyAlignment="1">
      <alignment horizontal="right" vertical="center" shrinkToFit="1"/>
    </xf>
    <xf numFmtId="177" fontId="21" fillId="0" borderId="6" xfId="0" applyNumberFormat="1" applyFont="1" applyBorder="1" applyAlignment="1">
      <alignment horizontal="right" vertical="center"/>
    </xf>
    <xf numFmtId="177" fontId="21" fillId="0" borderId="11" xfId="0" applyNumberFormat="1" applyFont="1" applyBorder="1" applyAlignment="1">
      <alignment horizontal="right" vertical="center"/>
    </xf>
    <xf numFmtId="177" fontId="21" fillId="0" borderId="39" xfId="0" applyNumberFormat="1" applyFont="1" applyBorder="1" applyAlignment="1">
      <alignment horizontal="right" vertical="center"/>
    </xf>
    <xf numFmtId="177" fontId="21" fillId="0" borderId="21" xfId="0" applyNumberFormat="1" applyFont="1" applyBorder="1" applyAlignment="1">
      <alignment horizontal="right" vertical="center"/>
    </xf>
    <xf numFmtId="0" fontId="21" fillId="0" borderId="0" xfId="0" applyFont="1" applyAlignment="1">
      <alignment horizontal="right" vertical="center"/>
    </xf>
    <xf numFmtId="9" fontId="18" fillId="0" borderId="6" xfId="1" applyNumberFormat="1" applyFont="1" applyFill="1" applyBorder="1" applyAlignment="1">
      <alignment horizontal="right" vertical="center" shrinkToFit="1"/>
    </xf>
    <xf numFmtId="9" fontId="18" fillId="0" borderId="31" xfId="1" applyNumberFormat="1" applyFont="1" applyFill="1" applyBorder="1" applyAlignment="1">
      <alignment horizontal="right" vertical="center" shrinkToFit="1"/>
    </xf>
    <xf numFmtId="41" fontId="18" fillId="0" borderId="31" xfId="1" applyFont="1" applyFill="1" applyBorder="1" applyAlignment="1">
      <alignment vertical="center"/>
    </xf>
    <xf numFmtId="41" fontId="18" fillId="0" borderId="23" xfId="5" applyNumberFormat="1" applyFont="1" applyFill="1" applyBorder="1" applyAlignment="1">
      <alignment horizontal="center" vertical="center" shrinkToFit="1"/>
    </xf>
    <xf numFmtId="41" fontId="18" fillId="0" borderId="23" xfId="1" applyFont="1" applyFill="1" applyBorder="1" applyAlignment="1">
      <alignment horizontal="center" vertical="center" shrinkToFit="1"/>
    </xf>
    <xf numFmtId="176" fontId="18" fillId="0" borderId="23" xfId="4" applyFont="1" applyFill="1" applyBorder="1" applyAlignment="1">
      <alignment vertical="center"/>
    </xf>
    <xf numFmtId="14" fontId="4" fillId="0" borderId="2" xfId="5" applyNumberFormat="1" applyFont="1" applyFill="1" applyBorder="1" applyAlignment="1">
      <alignment horizontal="center" vertical="center" shrinkToFit="1"/>
    </xf>
    <xf numFmtId="41" fontId="4" fillId="0" borderId="6" xfId="1" quotePrefix="1" applyFont="1" applyFill="1" applyBorder="1" applyAlignment="1">
      <alignment vertical="center"/>
    </xf>
    <xf numFmtId="180" fontId="4" fillId="0" borderId="14" xfId="3" applyNumberFormat="1" applyFont="1" applyFill="1" applyBorder="1" applyAlignment="1">
      <alignment vertical="center"/>
    </xf>
    <xf numFmtId="176" fontId="4" fillId="0" borderId="14" xfId="3" applyFont="1" applyFill="1" applyBorder="1" applyAlignment="1">
      <alignment horizontal="center" vertical="center"/>
    </xf>
    <xf numFmtId="49" fontId="4" fillId="0" borderId="15" xfId="5" applyNumberFormat="1" applyFont="1" applyFill="1" applyBorder="1" applyAlignment="1">
      <alignment horizontal="left" vertical="center"/>
    </xf>
    <xf numFmtId="49" fontId="4" fillId="0" borderId="16" xfId="5" applyNumberFormat="1" applyFont="1" applyFill="1" applyBorder="1" applyAlignment="1">
      <alignment horizontal="center" vertical="center"/>
    </xf>
    <xf numFmtId="179" fontId="4" fillId="0" borderId="32" xfId="1" applyNumberFormat="1" applyFont="1" applyFill="1" applyBorder="1" applyAlignment="1">
      <alignment vertical="center" shrinkToFit="1"/>
    </xf>
    <xf numFmtId="41" fontId="10" fillId="0" borderId="14" xfId="1" applyFont="1" applyFill="1" applyBorder="1" applyAlignment="1">
      <alignment vertical="center"/>
    </xf>
    <xf numFmtId="41" fontId="4" fillId="0" borderId="15" xfId="1" applyFont="1" applyFill="1" applyBorder="1" applyAlignment="1">
      <alignment vertical="center"/>
    </xf>
    <xf numFmtId="178" fontId="4" fillId="0" borderId="15" xfId="5" applyNumberFormat="1" applyFont="1" applyFill="1" applyBorder="1" applyAlignment="1">
      <alignment vertical="center"/>
    </xf>
    <xf numFmtId="0" fontId="18" fillId="0" borderId="24" xfId="5" applyFont="1" applyFill="1" applyBorder="1" applyAlignment="1">
      <alignment horizontal="center" vertical="center" shrinkToFit="1"/>
    </xf>
    <xf numFmtId="0" fontId="18" fillId="0" borderId="7" xfId="5" applyFont="1" applyFill="1" applyBorder="1" applyAlignment="1">
      <alignment horizontal="center" vertical="center" shrinkToFit="1"/>
    </xf>
    <xf numFmtId="0" fontId="18" fillId="0" borderId="8" xfId="5" applyFont="1" applyFill="1" applyBorder="1" applyAlignment="1">
      <alignment horizontal="center" vertical="center" shrinkToFit="1"/>
    </xf>
    <xf numFmtId="0" fontId="20" fillId="0" borderId="8" xfId="5" applyFont="1" applyFill="1" applyBorder="1" applyAlignment="1">
      <alignment horizontal="center" vertical="center" shrinkToFit="1"/>
    </xf>
    <xf numFmtId="0" fontId="18" fillId="0" borderId="10" xfId="5" applyFont="1" applyFill="1" applyBorder="1" applyAlignment="1">
      <alignment horizontal="center" vertical="center" shrinkToFit="1"/>
    </xf>
    <xf numFmtId="0" fontId="18" fillId="0" borderId="25" xfId="5" applyFont="1" applyFill="1" applyBorder="1" applyAlignment="1">
      <alignment horizontal="center" vertical="center" shrinkToFit="1"/>
    </xf>
    <xf numFmtId="0" fontId="18" fillId="0" borderId="28" xfId="5" applyFont="1" applyFill="1" applyBorder="1" applyAlignment="1">
      <alignment horizontal="center" vertical="center" shrinkToFit="1"/>
    </xf>
    <xf numFmtId="41" fontId="18" fillId="0" borderId="22" xfId="1" applyFont="1" applyFill="1" applyBorder="1" applyAlignment="1">
      <alignment vertical="center"/>
    </xf>
    <xf numFmtId="41" fontId="18" fillId="0" borderId="16" xfId="1" applyFont="1" applyFill="1" applyBorder="1" applyAlignment="1">
      <alignment vertical="center"/>
    </xf>
    <xf numFmtId="41" fontId="18" fillId="0" borderId="25" xfId="1" applyFont="1" applyFill="1" applyBorder="1" applyAlignment="1">
      <alignment vertical="center"/>
    </xf>
    <xf numFmtId="41" fontId="18" fillId="0" borderId="10" xfId="1" applyFont="1" applyFill="1" applyBorder="1" applyAlignment="1">
      <alignment vertical="center"/>
    </xf>
    <xf numFmtId="41" fontId="18" fillId="0" borderId="8" xfId="1" applyFont="1" applyFill="1" applyBorder="1" applyAlignment="1">
      <alignment horizontal="center" vertical="center" shrinkToFit="1"/>
    </xf>
    <xf numFmtId="0" fontId="17" fillId="0" borderId="5" xfId="5" applyFont="1" applyFill="1" applyBorder="1" applyAlignment="1">
      <alignment horizontal="center" vertical="center" shrinkToFit="1"/>
    </xf>
    <xf numFmtId="0" fontId="18" fillId="0" borderId="4" xfId="5" applyFont="1" applyFill="1" applyBorder="1" applyAlignment="1">
      <alignment horizontal="center" vertical="center" shrinkToFit="1"/>
    </xf>
    <xf numFmtId="0" fontId="18" fillId="0" borderId="3" xfId="5" applyFont="1" applyFill="1" applyBorder="1" applyAlignment="1">
      <alignment horizontal="center" vertical="center" shrinkToFit="1"/>
    </xf>
    <xf numFmtId="41" fontId="18" fillId="0" borderId="4" xfId="1" applyFont="1" applyFill="1" applyBorder="1" applyAlignment="1">
      <alignment horizontal="center" vertical="center" shrinkToFit="1"/>
    </xf>
    <xf numFmtId="176" fontId="18" fillId="0" borderId="8" xfId="4" applyFont="1" applyFill="1" applyBorder="1" applyAlignment="1">
      <alignment vertical="center"/>
    </xf>
    <xf numFmtId="176" fontId="18" fillId="0" borderId="4" xfId="4" applyFont="1" applyFill="1" applyBorder="1" applyAlignment="1">
      <alignment vertical="center"/>
    </xf>
    <xf numFmtId="41" fontId="18" fillId="0" borderId="28" xfId="1" applyFont="1" applyFill="1" applyBorder="1" applyAlignment="1">
      <alignment vertical="center"/>
    </xf>
    <xf numFmtId="41" fontId="18" fillId="0" borderId="4" xfId="5" applyNumberFormat="1" applyFont="1" applyFill="1" applyBorder="1" applyAlignment="1">
      <alignment horizontal="center" vertical="center" shrinkToFit="1"/>
    </xf>
    <xf numFmtId="180" fontId="2" fillId="0" borderId="6" xfId="1" applyNumberFormat="1" applyFont="1" applyFill="1" applyBorder="1" applyAlignment="1">
      <alignment vertical="center" shrinkToFit="1"/>
    </xf>
    <xf numFmtId="0" fontId="9" fillId="0" borderId="2" xfId="0" applyFont="1" applyBorder="1">
      <alignment vertical="center"/>
    </xf>
    <xf numFmtId="180" fontId="4" fillId="0" borderId="23" xfId="1" applyNumberFormat="1" applyFont="1" applyFill="1" applyBorder="1" applyAlignment="1">
      <alignment horizontal="left" vertical="center" shrinkToFit="1"/>
    </xf>
    <xf numFmtId="0" fontId="18" fillId="0" borderId="7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41" fontId="18" fillId="0" borderId="17" xfId="0" applyNumberFormat="1" applyFont="1" applyBorder="1" applyAlignment="1">
      <alignment horizontal="center" vertical="center" wrapText="1"/>
    </xf>
    <xf numFmtId="41" fontId="18" fillId="0" borderId="12" xfId="0" applyNumberFormat="1" applyFont="1" applyBorder="1" applyAlignment="1">
      <alignment horizontal="center" vertical="center" wrapText="1"/>
    </xf>
    <xf numFmtId="41" fontId="18" fillId="0" borderId="40" xfId="0" applyNumberFormat="1" applyFont="1" applyBorder="1" applyAlignment="1">
      <alignment horizontal="center" vertical="center" wrapText="1"/>
    </xf>
    <xf numFmtId="41" fontId="18" fillId="0" borderId="23" xfId="0" applyNumberFormat="1" applyFont="1" applyBorder="1" applyAlignment="1">
      <alignment horizontal="center" vertical="center"/>
    </xf>
    <xf numFmtId="41" fontId="18" fillId="0" borderId="6" xfId="0" applyNumberFormat="1" applyFont="1" applyBorder="1" applyAlignment="1">
      <alignment horizontal="center" vertical="center"/>
    </xf>
    <xf numFmtId="41" fontId="18" fillId="0" borderId="11" xfId="0" applyNumberFormat="1" applyFont="1" applyBorder="1" applyAlignment="1">
      <alignment horizontal="center" vertical="center"/>
    </xf>
    <xf numFmtId="41" fontId="18" fillId="0" borderId="39" xfId="0" applyNumberFormat="1" applyFont="1" applyBorder="1" applyAlignment="1">
      <alignment horizontal="center" vertical="center"/>
    </xf>
    <xf numFmtId="41" fontId="18" fillId="0" borderId="21" xfId="0" applyNumberFormat="1" applyFont="1" applyBorder="1" applyAlignment="1">
      <alignment horizontal="center" vertical="center"/>
    </xf>
    <xf numFmtId="9" fontId="18" fillId="0" borderId="6" xfId="1" quotePrefix="1" applyNumberFormat="1" applyFont="1" applyFill="1" applyBorder="1" applyAlignment="1">
      <alignment horizontal="right" vertical="center" shrinkToFit="1"/>
    </xf>
    <xf numFmtId="41" fontId="18" fillId="0" borderId="1" xfId="5" applyNumberFormat="1" applyFont="1" applyFill="1" applyBorder="1" applyAlignment="1">
      <alignment horizontal="center" vertical="center" shrinkToFit="1"/>
    </xf>
    <xf numFmtId="9" fontId="18" fillId="0" borderId="1" xfId="1" quotePrefix="1" applyNumberFormat="1" applyFont="1" applyFill="1" applyBorder="1" applyAlignment="1">
      <alignment horizontal="right" vertical="center" shrinkToFit="1"/>
    </xf>
    <xf numFmtId="177" fontId="21" fillId="0" borderId="6" xfId="0" quotePrefix="1" applyNumberFormat="1" applyFont="1" applyBorder="1" applyAlignment="1">
      <alignment horizontal="right" vertical="center"/>
    </xf>
    <xf numFmtId="177" fontId="21" fillId="0" borderId="1" xfId="0" applyNumberFormat="1" applyFont="1" applyBorder="1" applyAlignment="1">
      <alignment horizontal="right" vertical="center"/>
    </xf>
    <xf numFmtId="177" fontId="21" fillId="0" borderId="41" xfId="0" applyNumberFormat="1" applyFont="1" applyBorder="1" applyAlignment="1">
      <alignment horizontal="right" vertical="center"/>
    </xf>
    <xf numFmtId="41" fontId="18" fillId="0" borderId="31" xfId="1" applyNumberFormat="1" applyFont="1" applyFill="1" applyBorder="1" applyAlignment="1">
      <alignment horizontal="right" vertical="center" shrinkToFit="1"/>
    </xf>
    <xf numFmtId="41" fontId="18" fillId="0" borderId="23" xfId="1" applyNumberFormat="1" applyFont="1" applyFill="1" applyBorder="1" applyAlignment="1">
      <alignment horizontal="right" vertical="center" shrinkToFit="1"/>
    </xf>
    <xf numFmtId="41" fontId="18" fillId="0" borderId="6" xfId="1" applyNumberFormat="1" applyFont="1" applyFill="1" applyBorder="1" applyAlignment="1">
      <alignment horizontal="right" vertical="center" shrinkToFit="1"/>
    </xf>
    <xf numFmtId="41" fontId="18" fillId="0" borderId="14" xfId="1" applyNumberFormat="1" applyFont="1" applyFill="1" applyBorder="1" applyAlignment="1">
      <alignment horizontal="right" vertical="center" shrinkToFit="1"/>
    </xf>
    <xf numFmtId="41" fontId="18" fillId="0" borderId="11" xfId="1" applyNumberFormat="1" applyFont="1" applyFill="1" applyBorder="1" applyAlignment="1">
      <alignment horizontal="right" vertical="center" shrinkToFit="1"/>
    </xf>
    <xf numFmtId="41" fontId="18" fillId="0" borderId="1" xfId="1" applyNumberFormat="1" applyFont="1" applyFill="1" applyBorder="1" applyAlignment="1">
      <alignment horizontal="right" vertical="center" shrinkToFit="1"/>
    </xf>
    <xf numFmtId="41" fontId="18" fillId="0" borderId="21" xfId="1" applyNumberFormat="1" applyFont="1" applyFill="1" applyBorder="1" applyAlignment="1">
      <alignment horizontal="right" vertical="center" shrinkToFit="1"/>
    </xf>
    <xf numFmtId="9" fontId="18" fillId="0" borderId="31" xfId="1" quotePrefix="1" applyNumberFormat="1" applyFont="1" applyFill="1" applyBorder="1" applyAlignment="1">
      <alignment horizontal="right" vertical="center" shrinkToFit="1"/>
    </xf>
    <xf numFmtId="9" fontId="18" fillId="0" borderId="11" xfId="1" applyNumberFormat="1" applyFont="1" applyFill="1" applyBorder="1" applyAlignment="1">
      <alignment horizontal="right" vertical="center" shrinkToFit="1"/>
    </xf>
    <xf numFmtId="41" fontId="18" fillId="0" borderId="30" xfId="1" applyNumberFormat="1" applyFont="1" applyFill="1" applyBorder="1" applyAlignment="1">
      <alignment horizontal="right" vertical="center" shrinkToFit="1"/>
    </xf>
    <xf numFmtId="9" fontId="18" fillId="0" borderId="14" xfId="1" quotePrefix="1" applyNumberFormat="1" applyFont="1" applyFill="1" applyBorder="1" applyAlignment="1">
      <alignment horizontal="right" vertical="center" shrinkToFit="1"/>
    </xf>
    <xf numFmtId="0" fontId="10" fillId="0" borderId="14" xfId="5" applyFont="1" applyFill="1" applyBorder="1" applyAlignment="1">
      <alignment horizontal="center" vertical="center" shrinkToFit="1"/>
    </xf>
    <xf numFmtId="41" fontId="4" fillId="0" borderId="21" xfId="1" applyFont="1" applyFill="1" applyBorder="1" applyAlignment="1">
      <alignment horizontal="center" vertical="center" shrinkToFit="1"/>
    </xf>
    <xf numFmtId="41" fontId="4" fillId="0" borderId="23" xfId="1" applyFont="1" applyFill="1" applyBorder="1" applyAlignment="1">
      <alignment horizontal="left" vertical="center"/>
    </xf>
    <xf numFmtId="177" fontId="18" fillId="0" borderId="14" xfId="1" applyNumberFormat="1" applyFont="1" applyFill="1" applyBorder="1" applyAlignment="1">
      <alignment horizontal="right" vertical="center" shrinkToFit="1"/>
    </xf>
    <xf numFmtId="41" fontId="4" fillId="0" borderId="37" xfId="1" applyFont="1" applyFill="1" applyBorder="1" applyAlignment="1">
      <alignment vertical="center"/>
    </xf>
    <xf numFmtId="49" fontId="4" fillId="0" borderId="3" xfId="5" applyNumberFormat="1" applyFont="1" applyFill="1" applyBorder="1" applyAlignment="1">
      <alignment horizontal="left" vertical="center"/>
    </xf>
    <xf numFmtId="0" fontId="4" fillId="0" borderId="11" xfId="5" applyFont="1" applyFill="1" applyBorder="1" applyAlignment="1">
      <alignment horizontal="center" vertical="center" shrinkToFit="1"/>
    </xf>
    <xf numFmtId="0" fontId="4" fillId="0" borderId="2" xfId="5" applyFont="1" applyFill="1" applyBorder="1" applyAlignment="1">
      <alignment horizontal="center" vertical="center" shrinkToFit="1"/>
    </xf>
    <xf numFmtId="0" fontId="4" fillId="0" borderId="30" xfId="5" applyFont="1" applyFill="1" applyBorder="1" applyAlignment="1">
      <alignment horizontal="center" vertical="center" shrinkToFit="1"/>
    </xf>
    <xf numFmtId="0" fontId="4" fillId="0" borderId="15" xfId="5" applyFont="1" applyFill="1" applyBorder="1" applyAlignment="1">
      <alignment horizontal="center" vertical="center" shrinkToFit="1"/>
    </xf>
    <xf numFmtId="0" fontId="4" fillId="0" borderId="32" xfId="5" applyFont="1" applyFill="1" applyBorder="1" applyAlignment="1">
      <alignment horizontal="center" vertical="center" shrinkToFit="1"/>
    </xf>
    <xf numFmtId="180" fontId="4" fillId="0" borderId="14" xfId="3" applyNumberFormat="1" applyFont="1" applyFill="1" applyBorder="1" applyAlignment="1">
      <alignment horizontal="right" vertical="center"/>
    </xf>
    <xf numFmtId="179" fontId="4" fillId="0" borderId="19" xfId="4" applyNumberFormat="1" applyFont="1" applyFill="1" applyBorder="1" applyAlignment="1">
      <alignment vertical="center"/>
    </xf>
    <xf numFmtId="41" fontId="4" fillId="0" borderId="14" xfId="1" applyFont="1" applyFill="1" applyBorder="1" applyAlignment="1">
      <alignment horizontal="center" vertical="center" shrinkToFit="1"/>
    </xf>
    <xf numFmtId="0" fontId="10" fillId="0" borderId="1" xfId="5" applyFont="1" applyFill="1" applyBorder="1" applyAlignment="1">
      <alignment horizontal="center" vertical="center" shrinkToFit="1"/>
    </xf>
    <xf numFmtId="41" fontId="10" fillId="0" borderId="1" xfId="1" applyFont="1" applyFill="1" applyBorder="1" applyAlignment="1">
      <alignment horizontal="center" vertical="center" shrinkToFit="1"/>
    </xf>
    <xf numFmtId="180" fontId="10" fillId="0" borderId="1" xfId="1" applyNumberFormat="1" applyFont="1" applyFill="1" applyBorder="1" applyAlignment="1">
      <alignment horizontal="right" vertical="center" shrinkToFit="1"/>
    </xf>
    <xf numFmtId="180" fontId="9" fillId="0" borderId="6" xfId="1" applyNumberFormat="1" applyFont="1" applyFill="1" applyBorder="1" applyAlignment="1">
      <alignment vertical="center"/>
    </xf>
    <xf numFmtId="0" fontId="14" fillId="0" borderId="6" xfId="0" applyFont="1" applyBorder="1">
      <alignment vertical="center"/>
    </xf>
    <xf numFmtId="0" fontId="2" fillId="0" borderId="6" xfId="0" applyFont="1" applyBorder="1">
      <alignment vertical="center"/>
    </xf>
    <xf numFmtId="0" fontId="10" fillId="0" borderId="26" xfId="5" applyFont="1" applyFill="1" applyBorder="1" applyAlignment="1">
      <alignment horizontal="center" vertical="center" shrinkToFit="1"/>
    </xf>
    <xf numFmtId="41" fontId="10" fillId="0" borderId="23" xfId="1" applyFont="1" applyFill="1" applyBorder="1" applyAlignment="1">
      <alignment horizontal="center" vertical="center" shrinkToFit="1"/>
    </xf>
    <xf numFmtId="180" fontId="10" fillId="0" borderId="31" xfId="1" applyNumberFormat="1" applyFont="1" applyFill="1" applyBorder="1" applyAlignment="1">
      <alignment horizontal="right" vertical="center" shrinkToFit="1"/>
    </xf>
    <xf numFmtId="0" fontId="10" fillId="0" borderId="23" xfId="5" applyFont="1" applyFill="1" applyBorder="1" applyAlignment="1">
      <alignment horizontal="center" vertical="center" shrinkToFit="1"/>
    </xf>
    <xf numFmtId="176" fontId="10" fillId="0" borderId="23" xfId="4" applyFont="1" applyFill="1" applyBorder="1" applyAlignment="1">
      <alignment vertical="center"/>
    </xf>
    <xf numFmtId="0" fontId="24" fillId="0" borderId="1" xfId="5" applyFont="1" applyFill="1" applyBorder="1" applyAlignment="1">
      <alignment horizontal="center" vertical="center" shrinkToFit="1"/>
    </xf>
    <xf numFmtId="41" fontId="10" fillId="0" borderId="1" xfId="1" applyFont="1" applyFill="1" applyBorder="1" applyAlignment="1">
      <alignment vertical="center"/>
    </xf>
    <xf numFmtId="0" fontId="8" fillId="0" borderId="6" xfId="5" applyFont="1" applyFill="1" applyBorder="1" applyAlignment="1">
      <alignment horizontal="center" vertical="center" shrinkToFit="1"/>
    </xf>
    <xf numFmtId="3" fontId="4" fillId="0" borderId="29" xfId="2" applyNumberFormat="1" applyFont="1" applyFill="1" applyBorder="1" applyAlignment="1">
      <alignment vertical="center"/>
    </xf>
    <xf numFmtId="0" fontId="10" fillId="0" borderId="31" xfId="5" applyFont="1" applyFill="1" applyBorder="1" applyAlignment="1">
      <alignment horizontal="center" vertical="center" shrinkToFit="1"/>
    </xf>
    <xf numFmtId="41" fontId="10" fillId="0" borderId="31" xfId="1" applyFont="1" applyFill="1" applyBorder="1" applyAlignment="1">
      <alignment vertical="center"/>
    </xf>
    <xf numFmtId="3" fontId="4" fillId="0" borderId="36" xfId="2" applyNumberFormat="1" applyFont="1" applyFill="1" applyBorder="1" applyAlignment="1">
      <alignment vertical="center"/>
    </xf>
    <xf numFmtId="180" fontId="11" fillId="0" borderId="2" xfId="1" applyNumberFormat="1" applyFont="1" applyFill="1" applyBorder="1" applyAlignment="1">
      <alignment horizontal="center" vertical="center"/>
    </xf>
    <xf numFmtId="0" fontId="24" fillId="0" borderId="23" xfId="5" applyFont="1" applyFill="1" applyBorder="1" applyAlignment="1">
      <alignment horizontal="center" vertical="center" shrinkToFit="1"/>
    </xf>
    <xf numFmtId="41" fontId="10" fillId="0" borderId="23" xfId="1" applyFont="1" applyFill="1" applyBorder="1" applyAlignment="1">
      <alignment vertical="center"/>
    </xf>
    <xf numFmtId="180" fontId="2" fillId="0" borderId="6" xfId="1" applyNumberFormat="1" applyFont="1" applyFill="1" applyBorder="1" applyAlignment="1">
      <alignment vertical="center"/>
    </xf>
    <xf numFmtId="0" fontId="2" fillId="0" borderId="8" xfId="5" applyFont="1" applyFill="1" applyBorder="1" applyAlignment="1">
      <alignment horizontal="right" vertical="center" shrinkToFit="1"/>
    </xf>
    <xf numFmtId="0" fontId="9" fillId="0" borderId="8" xfId="5" applyFont="1" applyFill="1" applyBorder="1" applyAlignment="1">
      <alignment horizontal="right" vertical="center" shrinkToFit="1"/>
    </xf>
    <xf numFmtId="41" fontId="4" fillId="0" borderId="6" xfId="1" applyFont="1" applyFill="1" applyBorder="1" applyAlignment="1">
      <alignment horizontal="center" vertical="center"/>
    </xf>
    <xf numFmtId="180" fontId="8" fillId="0" borderId="6" xfId="1" applyNumberFormat="1" applyFont="1" applyFill="1" applyBorder="1" applyAlignment="1">
      <alignment vertical="center"/>
    </xf>
    <xf numFmtId="180" fontId="4" fillId="0" borderId="32" xfId="1" applyNumberFormat="1" applyFont="1" applyFill="1" applyBorder="1" applyAlignment="1">
      <alignment vertical="center"/>
    </xf>
    <xf numFmtId="180" fontId="9" fillId="0" borderId="32" xfId="1" applyNumberFormat="1" applyFont="1" applyFill="1" applyBorder="1" applyAlignment="1">
      <alignment vertical="center"/>
    </xf>
    <xf numFmtId="180" fontId="9" fillId="0" borderId="17" xfId="1" applyNumberFormat="1" applyFont="1" applyFill="1" applyBorder="1" applyAlignment="1">
      <alignment vertical="center"/>
    </xf>
    <xf numFmtId="180" fontId="4" fillId="0" borderId="12" xfId="1" applyNumberFormat="1" applyFont="1" applyFill="1" applyBorder="1" applyAlignment="1">
      <alignment vertical="center"/>
    </xf>
    <xf numFmtId="49" fontId="4" fillId="0" borderId="24" xfId="5" applyNumberFormat="1" applyFont="1" applyFill="1" applyBorder="1" applyAlignment="1">
      <alignment vertical="center" shrinkToFit="1"/>
    </xf>
    <xf numFmtId="49" fontId="4" fillId="0" borderId="27" xfId="5" applyNumberFormat="1" applyFont="1" applyFill="1" applyBorder="1" applyAlignment="1">
      <alignment vertical="center" shrinkToFit="1"/>
    </xf>
    <xf numFmtId="0" fontId="10" fillId="0" borderId="17" xfId="5" applyFont="1" applyFill="1" applyBorder="1" applyAlignment="1">
      <alignment horizontal="center" vertical="center" shrinkToFit="1"/>
    </xf>
    <xf numFmtId="41" fontId="4" fillId="0" borderId="12" xfId="5" applyNumberFormat="1" applyFont="1" applyFill="1" applyBorder="1" applyAlignment="1">
      <alignment horizontal="center" vertical="center" shrinkToFit="1"/>
    </xf>
    <xf numFmtId="0" fontId="4" fillId="0" borderId="30" xfId="5" quotePrefix="1" applyFont="1" applyFill="1" applyBorder="1" applyAlignment="1">
      <alignment horizontal="center" vertical="center" shrinkToFit="1"/>
    </xf>
    <xf numFmtId="0" fontId="4" fillId="0" borderId="14" xfId="5" quotePrefix="1" applyFont="1" applyFill="1" applyBorder="1" applyAlignment="1">
      <alignment horizontal="center" vertical="center" shrinkToFit="1"/>
    </xf>
    <xf numFmtId="49" fontId="4" fillId="0" borderId="16" xfId="5" applyNumberFormat="1" applyFont="1" applyFill="1" applyBorder="1" applyAlignment="1">
      <alignment horizontal="right" vertical="center" shrinkToFit="1"/>
    </xf>
    <xf numFmtId="3" fontId="4" fillId="0" borderId="32" xfId="1" applyNumberFormat="1" applyFont="1" applyFill="1" applyBorder="1" applyAlignment="1">
      <alignment vertical="center"/>
    </xf>
    <xf numFmtId="180" fontId="4" fillId="0" borderId="14" xfId="1" applyNumberFormat="1" applyFont="1" applyFill="1" applyBorder="1" applyAlignment="1">
      <alignment vertical="center" shrinkToFit="1"/>
    </xf>
    <xf numFmtId="41" fontId="4" fillId="0" borderId="19" xfId="5" applyNumberFormat="1" applyFont="1" applyFill="1" applyBorder="1" applyAlignment="1">
      <alignment horizontal="center" vertical="center" shrinkToFit="1"/>
    </xf>
    <xf numFmtId="0" fontId="4" fillId="0" borderId="31" xfId="5" quotePrefix="1" applyFont="1" applyFill="1" applyBorder="1" applyAlignment="1">
      <alignment horizontal="center" vertical="center" shrinkToFit="1"/>
    </xf>
    <xf numFmtId="0" fontId="18" fillId="0" borderId="7" xfId="5" applyFont="1" applyFill="1" applyBorder="1" applyAlignment="1">
      <alignment horizontal="center" vertical="center" shrinkToFit="1"/>
    </xf>
    <xf numFmtId="49" fontId="4" fillId="0" borderId="4" xfId="5" applyNumberFormat="1" applyFont="1" applyFill="1" applyBorder="1" applyAlignment="1">
      <alignment horizontal="right" vertical="center" shrinkToFit="1"/>
    </xf>
    <xf numFmtId="180" fontId="4" fillId="0" borderId="2" xfId="1" applyNumberFormat="1" applyFont="1" applyFill="1" applyBorder="1" applyAlignment="1">
      <alignment horizontal="center" vertical="center"/>
    </xf>
    <xf numFmtId="49" fontId="4" fillId="0" borderId="4" xfId="5" applyNumberFormat="1" applyFont="1" applyFill="1" applyBorder="1" applyAlignment="1">
      <alignment vertical="center"/>
    </xf>
    <xf numFmtId="176" fontId="4" fillId="0" borderId="31" xfId="3" applyFont="1" applyFill="1" applyBorder="1" applyAlignment="1">
      <alignment vertical="center"/>
    </xf>
    <xf numFmtId="180" fontId="4" fillId="0" borderId="31" xfId="3" applyNumberFormat="1" applyFont="1" applyFill="1" applyBorder="1" applyAlignment="1">
      <alignment vertical="center"/>
    </xf>
    <xf numFmtId="49" fontId="4" fillId="0" borderId="37" xfId="5" applyNumberFormat="1" applyFont="1" applyFill="1" applyBorder="1" applyAlignment="1">
      <alignment vertical="center"/>
    </xf>
    <xf numFmtId="0" fontId="4" fillId="0" borderId="22" xfId="5" applyFont="1" applyFill="1" applyBorder="1" applyAlignment="1">
      <alignment horizontal="right" vertical="center"/>
    </xf>
    <xf numFmtId="179" fontId="4" fillId="0" borderId="36" xfId="1" applyNumberFormat="1" applyFont="1" applyFill="1" applyBorder="1" applyAlignment="1">
      <alignment vertical="center"/>
    </xf>
    <xf numFmtId="176" fontId="4" fillId="0" borderId="30" xfId="3" applyFont="1" applyFill="1" applyBorder="1" applyAlignment="1">
      <alignment vertical="center"/>
    </xf>
    <xf numFmtId="180" fontId="4" fillId="0" borderId="30" xfId="3" applyNumberFormat="1" applyFont="1" applyFill="1" applyBorder="1" applyAlignment="1">
      <alignment horizontal="right" vertical="center"/>
    </xf>
    <xf numFmtId="0" fontId="4" fillId="0" borderId="34" xfId="5" applyFont="1" applyFill="1" applyBorder="1" applyAlignment="1">
      <alignment horizontal="right" vertical="center"/>
    </xf>
    <xf numFmtId="179" fontId="4" fillId="0" borderId="35" xfId="1" applyNumberFormat="1" applyFont="1" applyFill="1" applyBorder="1" applyAlignment="1">
      <alignment vertical="center"/>
    </xf>
    <xf numFmtId="0" fontId="4" fillId="0" borderId="14" xfId="5" applyFont="1" applyFill="1" applyBorder="1" applyAlignment="1">
      <alignment vertical="center" shrinkToFit="1"/>
    </xf>
    <xf numFmtId="0" fontId="4" fillId="0" borderId="2" xfId="5" applyFont="1" applyFill="1" applyBorder="1" applyAlignment="1">
      <alignment vertical="center" shrinkToFit="1"/>
    </xf>
    <xf numFmtId="0" fontId="4" fillId="0" borderId="37" xfId="5" applyFont="1" applyFill="1" applyBorder="1" applyAlignment="1">
      <alignment horizontal="center" vertical="center" shrinkToFit="1"/>
    </xf>
    <xf numFmtId="0" fontId="4" fillId="0" borderId="30" xfId="5" applyFont="1" applyFill="1" applyBorder="1" applyAlignment="1">
      <alignment vertical="center" shrinkToFit="1"/>
    </xf>
    <xf numFmtId="0" fontId="4" fillId="0" borderId="33" xfId="5" applyFont="1" applyFill="1" applyBorder="1" applyAlignment="1">
      <alignment horizontal="center" vertical="center" shrinkToFit="1"/>
    </xf>
    <xf numFmtId="180" fontId="4" fillId="0" borderId="30" xfId="3" applyNumberFormat="1" applyFont="1" applyFill="1" applyBorder="1" applyAlignment="1">
      <alignment vertical="center"/>
    </xf>
    <xf numFmtId="41" fontId="4" fillId="0" borderId="7" xfId="5" applyNumberFormat="1" applyFont="1" applyFill="1" applyBorder="1" applyAlignment="1">
      <alignment vertical="center"/>
    </xf>
    <xf numFmtId="180" fontId="4" fillId="0" borderId="29" xfId="1" applyNumberFormat="1" applyFont="1" applyFill="1" applyBorder="1" applyAlignment="1">
      <alignment vertical="center"/>
    </xf>
    <xf numFmtId="180" fontId="4" fillId="0" borderId="18" xfId="1" applyNumberFormat="1" applyFont="1" applyFill="1" applyBorder="1" applyAlignment="1">
      <alignment vertical="center"/>
    </xf>
    <xf numFmtId="0" fontId="4" fillId="0" borderId="0" xfId="5" applyFont="1" applyFill="1" applyAlignment="1">
      <alignment vertical="center" shrinkToFit="1"/>
    </xf>
    <xf numFmtId="49" fontId="4" fillId="0" borderId="7" xfId="5" applyNumberFormat="1" applyFont="1" applyFill="1" applyBorder="1" applyAlignment="1">
      <alignment vertical="center"/>
    </xf>
    <xf numFmtId="42" fontId="4" fillId="0" borderId="7" xfId="5" applyNumberFormat="1" applyFont="1" applyFill="1" applyBorder="1" applyAlignment="1">
      <alignment vertical="center"/>
    </xf>
    <xf numFmtId="42" fontId="4" fillId="0" borderId="9" xfId="5" applyNumberFormat="1" applyFont="1" applyFill="1" applyBorder="1" applyAlignment="1">
      <alignment vertical="center"/>
    </xf>
    <xf numFmtId="41" fontId="4" fillId="0" borderId="21" xfId="5" applyNumberFormat="1" applyFont="1" applyFill="1" applyBorder="1" applyAlignment="1">
      <alignment horizontal="center" vertical="center" shrinkToFit="1"/>
    </xf>
    <xf numFmtId="41" fontId="4" fillId="0" borderId="11" xfId="5" applyNumberFormat="1" applyFont="1" applyFill="1" applyBorder="1" applyAlignment="1">
      <alignment horizontal="center" vertical="center" shrinkToFit="1"/>
    </xf>
    <xf numFmtId="0" fontId="23" fillId="0" borderId="0" xfId="0" applyFont="1" applyAlignment="1">
      <alignment horizontal="center" vertical="center"/>
    </xf>
    <xf numFmtId="0" fontId="17" fillId="0" borderId="2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39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wrapText="1"/>
    </xf>
    <xf numFmtId="0" fontId="18" fillId="0" borderId="7" xfId="5" applyFont="1" applyFill="1" applyBorder="1" applyAlignment="1">
      <alignment horizontal="center" vertical="center" shrinkToFit="1"/>
    </xf>
    <xf numFmtId="0" fontId="18" fillId="0" borderId="8" xfId="5" applyFont="1" applyFill="1" applyBorder="1" applyAlignment="1">
      <alignment horizontal="center" vertical="center" shrinkToFit="1"/>
    </xf>
    <xf numFmtId="0" fontId="18" fillId="0" borderId="15" xfId="5" applyFont="1" applyFill="1" applyBorder="1" applyAlignment="1">
      <alignment horizontal="center" vertical="center" shrinkToFit="1"/>
    </xf>
    <xf numFmtId="0" fontId="18" fillId="0" borderId="16" xfId="5" applyFont="1" applyFill="1" applyBorder="1" applyAlignment="1">
      <alignment horizontal="center" vertical="center" shrinkToFit="1"/>
    </xf>
    <xf numFmtId="0" fontId="18" fillId="0" borderId="24" xfId="5" applyFont="1" applyFill="1" applyBorder="1" applyAlignment="1">
      <alignment horizontal="center" vertical="center" shrinkToFit="1"/>
    </xf>
    <xf numFmtId="0" fontId="18" fillId="0" borderId="25" xfId="5" applyFont="1" applyFill="1" applyBorder="1" applyAlignment="1">
      <alignment horizontal="center" vertical="center" shrinkToFit="1"/>
    </xf>
    <xf numFmtId="0" fontId="18" fillId="0" borderId="37" xfId="5" applyFont="1" applyFill="1" applyBorder="1" applyAlignment="1">
      <alignment horizontal="center" vertical="center" shrinkToFit="1"/>
    </xf>
    <xf numFmtId="0" fontId="18" fillId="0" borderId="22" xfId="5" applyFont="1" applyFill="1" applyBorder="1" applyAlignment="1">
      <alignment horizontal="center" vertical="center" shrinkToFit="1"/>
    </xf>
    <xf numFmtId="0" fontId="22" fillId="0" borderId="0" xfId="5" applyFont="1" applyFill="1" applyAlignment="1">
      <alignment horizontal="left" vertical="center" shrinkToFit="1"/>
    </xf>
    <xf numFmtId="0" fontId="17" fillId="0" borderId="7" xfId="5" applyFont="1" applyFill="1" applyBorder="1" applyAlignment="1">
      <alignment horizontal="center" vertical="center" shrinkToFit="1"/>
    </xf>
    <xf numFmtId="0" fontId="17" fillId="0" borderId="8" xfId="5" applyFont="1" applyFill="1" applyBorder="1" applyAlignment="1">
      <alignment horizontal="center" vertical="center" shrinkToFit="1"/>
    </xf>
    <xf numFmtId="0" fontId="17" fillId="0" borderId="12" xfId="5" applyFont="1" applyFill="1" applyBorder="1" applyAlignment="1">
      <alignment horizontal="center" vertical="center" shrinkToFit="1"/>
    </xf>
    <xf numFmtId="41" fontId="17" fillId="0" borderId="11" xfId="1" applyFont="1" applyFill="1" applyBorder="1" applyAlignment="1">
      <alignment horizontal="center" vertical="center"/>
    </xf>
    <xf numFmtId="41" fontId="17" fillId="0" borderId="2" xfId="1" applyFont="1" applyFill="1" applyBorder="1" applyAlignment="1">
      <alignment horizontal="center" vertical="center"/>
    </xf>
    <xf numFmtId="41" fontId="17" fillId="0" borderId="9" xfId="1" applyFont="1" applyFill="1" applyBorder="1" applyAlignment="1">
      <alignment horizontal="center" vertical="center" wrapText="1"/>
    </xf>
    <xf numFmtId="41" fontId="17" fillId="0" borderId="33" xfId="1" applyFont="1" applyFill="1" applyBorder="1" applyAlignment="1">
      <alignment horizontal="center" vertical="center" wrapText="1"/>
    </xf>
    <xf numFmtId="3" fontId="17" fillId="0" borderId="11" xfId="1" applyNumberFormat="1" applyFont="1" applyFill="1" applyBorder="1" applyAlignment="1">
      <alignment horizontal="center" vertical="center"/>
    </xf>
    <xf numFmtId="3" fontId="17" fillId="0" borderId="2" xfId="1" applyNumberFormat="1" applyFont="1" applyFill="1" applyBorder="1" applyAlignment="1">
      <alignment horizontal="center" vertical="center"/>
    </xf>
    <xf numFmtId="0" fontId="18" fillId="0" borderId="9" xfId="5" applyFont="1" applyFill="1" applyBorder="1" applyAlignment="1">
      <alignment horizontal="center" vertical="center" shrinkToFit="1"/>
    </xf>
    <xf numFmtId="0" fontId="18" fillId="0" borderId="10" xfId="5" applyFont="1" applyFill="1" applyBorder="1" applyAlignment="1">
      <alignment horizontal="center" vertical="center" shrinkToFit="1"/>
    </xf>
    <xf numFmtId="0" fontId="18" fillId="0" borderId="3" xfId="5" applyFont="1" applyFill="1" applyBorder="1" applyAlignment="1">
      <alignment horizontal="center" vertical="center" shrinkToFit="1"/>
    </xf>
    <xf numFmtId="0" fontId="18" fillId="0" borderId="4" xfId="5" applyFont="1" applyFill="1" applyBorder="1" applyAlignment="1">
      <alignment horizontal="center" vertical="center" shrinkToFit="1"/>
    </xf>
    <xf numFmtId="41" fontId="17" fillId="0" borderId="30" xfId="1" applyFont="1" applyFill="1" applyBorder="1" applyAlignment="1">
      <alignment horizontal="center" vertical="center"/>
    </xf>
    <xf numFmtId="0" fontId="18" fillId="0" borderId="12" xfId="5" applyFont="1" applyFill="1" applyBorder="1" applyAlignment="1">
      <alignment horizontal="center" vertical="center" shrinkToFit="1"/>
    </xf>
    <xf numFmtId="0" fontId="18" fillId="0" borderId="27" xfId="5" applyFont="1" applyFill="1" applyBorder="1" applyAlignment="1">
      <alignment horizontal="center" vertical="center" shrinkToFit="1"/>
    </xf>
    <xf numFmtId="0" fontId="18" fillId="0" borderId="28" xfId="5" applyFont="1" applyFill="1" applyBorder="1" applyAlignment="1">
      <alignment horizontal="center" vertical="center" shrinkToFit="1"/>
    </xf>
    <xf numFmtId="0" fontId="20" fillId="0" borderId="7" xfId="5" applyFont="1" applyFill="1" applyBorder="1" applyAlignment="1">
      <alignment horizontal="center" vertical="center" shrinkToFit="1"/>
    </xf>
    <xf numFmtId="0" fontId="20" fillId="0" borderId="8" xfId="5" applyFont="1" applyFill="1" applyBorder="1" applyAlignment="1">
      <alignment horizontal="center" vertical="center" shrinkToFit="1"/>
    </xf>
    <xf numFmtId="0" fontId="16" fillId="0" borderId="0" xfId="5" applyFont="1" applyFill="1" applyAlignment="1">
      <alignment horizontal="center" vertical="center" shrinkToFit="1"/>
    </xf>
    <xf numFmtId="41" fontId="17" fillId="0" borderId="10" xfId="1" applyFont="1" applyFill="1" applyBorder="1" applyAlignment="1">
      <alignment horizontal="center" vertical="center"/>
    </xf>
    <xf numFmtId="41" fontId="17" fillId="0" borderId="0" xfId="1" applyFont="1" applyFill="1" applyBorder="1" applyAlignment="1">
      <alignment horizontal="center" vertical="center"/>
    </xf>
    <xf numFmtId="0" fontId="3" fillId="0" borderId="0" xfId="5" applyFont="1" applyFill="1" applyAlignment="1">
      <alignment horizontal="center" vertical="center" shrinkToFit="1"/>
    </xf>
    <xf numFmtId="180" fontId="4" fillId="0" borderId="11" xfId="1" applyNumberFormat="1" applyFont="1" applyFill="1" applyBorder="1" applyAlignment="1">
      <alignment horizontal="center" vertical="center"/>
    </xf>
    <xf numFmtId="180" fontId="4" fillId="0" borderId="1" xfId="1" applyNumberFormat="1" applyFont="1" applyFill="1" applyBorder="1" applyAlignment="1">
      <alignment horizontal="center" vertical="center"/>
    </xf>
    <xf numFmtId="49" fontId="2" fillId="0" borderId="5" xfId="5" applyNumberFormat="1" applyFont="1" applyFill="1" applyBorder="1" applyAlignment="1">
      <alignment horizontal="right" vertical="center" shrinkToFit="1"/>
    </xf>
    <xf numFmtId="49" fontId="2" fillId="0" borderId="0" xfId="5" applyNumberFormat="1" applyFont="1" applyFill="1" applyBorder="1" applyAlignment="1">
      <alignment horizontal="right" vertical="center" shrinkToFit="1"/>
    </xf>
    <xf numFmtId="49" fontId="4" fillId="0" borderId="3" xfId="5" applyNumberFormat="1" applyFont="1" applyFill="1" applyBorder="1" applyAlignment="1">
      <alignment horizontal="right" vertical="center" shrinkToFit="1"/>
    </xf>
    <xf numFmtId="49" fontId="4" fillId="0" borderId="4" xfId="5" applyNumberFormat="1" applyFont="1" applyFill="1" applyBorder="1" applyAlignment="1">
      <alignment horizontal="right" vertical="center" shrinkToFit="1"/>
    </xf>
    <xf numFmtId="0" fontId="4" fillId="0" borderId="7" xfId="5" applyFont="1" applyFill="1" applyBorder="1" applyAlignment="1">
      <alignment horizontal="center" vertical="center" shrinkToFit="1"/>
    </xf>
    <xf numFmtId="0" fontId="4" fillId="0" borderId="8" xfId="5" applyFont="1" applyFill="1" applyBorder="1" applyAlignment="1">
      <alignment horizontal="center" vertical="center" shrinkToFit="1"/>
    </xf>
    <xf numFmtId="0" fontId="4" fillId="0" borderId="12" xfId="5" applyFont="1" applyFill="1" applyBorder="1" applyAlignment="1">
      <alignment horizontal="center" vertical="center" shrinkToFit="1"/>
    </xf>
    <xf numFmtId="49" fontId="4" fillId="0" borderId="9" xfId="5" applyNumberFormat="1" applyFont="1" applyFill="1" applyBorder="1" applyAlignment="1">
      <alignment horizontal="center" vertical="center"/>
    </xf>
    <xf numFmtId="49" fontId="4" fillId="0" borderId="10" xfId="5" applyNumberFormat="1" applyFont="1" applyFill="1" applyBorder="1" applyAlignment="1">
      <alignment horizontal="center" vertical="center"/>
    </xf>
    <xf numFmtId="49" fontId="4" fillId="0" borderId="19" xfId="5" applyNumberFormat="1" applyFont="1" applyFill="1" applyBorder="1" applyAlignment="1">
      <alignment horizontal="center" vertical="center"/>
    </xf>
    <xf numFmtId="49" fontId="4" fillId="0" borderId="3" xfId="5" applyNumberFormat="1" applyFont="1" applyFill="1" applyBorder="1" applyAlignment="1">
      <alignment horizontal="center" vertical="center"/>
    </xf>
    <xf numFmtId="49" fontId="4" fillId="0" borderId="4" xfId="5" applyNumberFormat="1" applyFont="1" applyFill="1" applyBorder="1" applyAlignment="1">
      <alignment horizontal="center" vertical="center"/>
    </xf>
    <xf numFmtId="49" fontId="4" fillId="0" borderId="17" xfId="5" applyNumberFormat="1" applyFont="1" applyFill="1" applyBorder="1" applyAlignment="1">
      <alignment horizontal="center" vertical="center"/>
    </xf>
    <xf numFmtId="41" fontId="4" fillId="0" borderId="11" xfId="1" applyFont="1" applyFill="1" applyBorder="1" applyAlignment="1">
      <alignment horizontal="center" vertical="center"/>
    </xf>
    <xf numFmtId="41" fontId="4" fillId="0" borderId="1" xfId="1" applyFont="1" applyFill="1" applyBorder="1" applyAlignment="1">
      <alignment horizontal="center" vertical="center"/>
    </xf>
    <xf numFmtId="41" fontId="4" fillId="0" borderId="30" xfId="1" applyFont="1" applyFill="1" applyBorder="1" applyAlignment="1">
      <alignment horizontal="center" vertical="center"/>
    </xf>
    <xf numFmtId="41" fontId="4" fillId="0" borderId="2" xfId="1" applyFont="1" applyFill="1" applyBorder="1" applyAlignment="1">
      <alignment horizontal="center" vertical="center"/>
    </xf>
    <xf numFmtId="180" fontId="4" fillId="0" borderId="2" xfId="1" applyNumberFormat="1" applyFont="1" applyFill="1" applyBorder="1" applyAlignment="1">
      <alignment horizontal="center" vertical="center"/>
    </xf>
    <xf numFmtId="49" fontId="4" fillId="0" borderId="5" xfId="5" applyNumberFormat="1" applyFont="1" applyFill="1" applyBorder="1" applyAlignment="1">
      <alignment horizontal="center" vertical="center"/>
    </xf>
    <xf numFmtId="49" fontId="4" fillId="0" borderId="0" xfId="5" applyNumberFormat="1" applyFont="1" applyFill="1" applyBorder="1" applyAlignment="1">
      <alignment horizontal="center" vertical="center"/>
    </xf>
    <xf numFmtId="49" fontId="4" fillId="0" borderId="18" xfId="5" applyNumberFormat="1" applyFont="1" applyFill="1" applyBorder="1" applyAlignment="1">
      <alignment horizontal="center" vertical="center"/>
    </xf>
    <xf numFmtId="49" fontId="4" fillId="0" borderId="7" xfId="5" applyNumberFormat="1" applyFont="1" applyFill="1" applyBorder="1" applyAlignment="1">
      <alignment vertical="center"/>
    </xf>
    <xf numFmtId="49" fontId="4" fillId="0" borderId="8" xfId="5" applyNumberFormat="1" applyFont="1" applyFill="1" applyBorder="1" applyAlignment="1">
      <alignment vertical="center"/>
    </xf>
    <xf numFmtId="0" fontId="4" fillId="0" borderId="15" xfId="5" applyFont="1" applyFill="1" applyBorder="1" applyAlignment="1">
      <alignment horizontal="center" vertical="center" shrinkToFit="1"/>
    </xf>
    <xf numFmtId="0" fontId="4" fillId="0" borderId="16" xfId="5" applyFont="1" applyFill="1" applyBorder="1" applyAlignment="1">
      <alignment horizontal="center" vertical="center" shrinkToFit="1"/>
    </xf>
    <xf numFmtId="0" fontId="4" fillId="0" borderId="32" xfId="5" applyFont="1" applyFill="1" applyBorder="1" applyAlignment="1">
      <alignment horizontal="center" vertical="center" shrinkToFit="1"/>
    </xf>
    <xf numFmtId="180" fontId="4" fillId="0" borderId="30" xfId="1" applyNumberFormat="1" applyFont="1" applyFill="1" applyBorder="1" applyAlignment="1">
      <alignment horizontal="center" vertical="center"/>
    </xf>
    <xf numFmtId="49" fontId="4" fillId="0" borderId="33" xfId="5" applyNumberFormat="1" applyFont="1" applyFill="1" applyBorder="1" applyAlignment="1">
      <alignment horizontal="center" vertical="center"/>
    </xf>
    <xf numFmtId="49" fontId="4" fillId="0" borderId="34" xfId="5" applyNumberFormat="1" applyFont="1" applyFill="1" applyBorder="1" applyAlignment="1">
      <alignment horizontal="center" vertical="center"/>
    </xf>
    <xf numFmtId="49" fontId="4" fillId="0" borderId="35" xfId="5" applyNumberFormat="1" applyFont="1" applyFill="1" applyBorder="1" applyAlignment="1">
      <alignment horizontal="center" vertical="center"/>
    </xf>
    <xf numFmtId="0" fontId="2" fillId="0" borderId="30" xfId="5" applyFont="1" applyFill="1" applyBorder="1" applyAlignment="1">
      <alignment horizontal="center" vertical="center" shrinkToFit="1"/>
    </xf>
    <xf numFmtId="41" fontId="4" fillId="0" borderId="30" xfId="1" applyFont="1" applyFill="1" applyBorder="1" applyAlignment="1">
      <alignment vertical="center"/>
    </xf>
    <xf numFmtId="0" fontId="4" fillId="0" borderId="34" xfId="5" applyFont="1" applyFill="1" applyBorder="1" applyAlignment="1">
      <alignment horizontal="right" vertical="center" shrinkToFit="1"/>
    </xf>
    <xf numFmtId="3" fontId="4" fillId="0" borderId="35" xfId="4" applyNumberFormat="1" applyFont="1" applyFill="1" applyBorder="1" applyAlignment="1">
      <alignment vertical="center"/>
    </xf>
    <xf numFmtId="180" fontId="4" fillId="0" borderId="30" xfId="1" applyNumberFormat="1" applyFont="1" applyFill="1" applyBorder="1" applyAlignment="1">
      <alignment vertical="center"/>
    </xf>
    <xf numFmtId="180" fontId="2" fillId="0" borderId="11" xfId="1" applyNumberFormat="1" applyFont="1" applyFill="1" applyBorder="1" applyAlignment="1">
      <alignment vertical="center" shrinkToFit="1"/>
    </xf>
    <xf numFmtId="41" fontId="4" fillId="0" borderId="14" xfId="5" applyNumberFormat="1" applyFont="1" applyFill="1" applyBorder="1" applyAlignment="1">
      <alignment horizontal="center" vertical="center" shrinkToFit="1"/>
    </xf>
    <xf numFmtId="180" fontId="2" fillId="0" borderId="14" xfId="1" applyNumberFormat="1" applyFont="1" applyFill="1" applyBorder="1" applyAlignment="1">
      <alignment vertical="center" shrinkToFit="1"/>
    </xf>
    <xf numFmtId="41" fontId="18" fillId="0" borderId="11" xfId="1" applyFont="1" applyFill="1" applyBorder="1" applyAlignment="1">
      <alignment horizontal="center" vertical="center" shrinkToFit="1"/>
    </xf>
    <xf numFmtId="41" fontId="18" fillId="0" borderId="10" xfId="1" applyFont="1" applyFill="1" applyBorder="1" applyAlignment="1">
      <alignment horizontal="center" vertical="center" shrinkToFit="1"/>
    </xf>
    <xf numFmtId="9" fontId="18" fillId="0" borderId="2" xfId="1" applyNumberFormat="1" applyFont="1" applyFill="1" applyBorder="1" applyAlignment="1">
      <alignment horizontal="right" vertical="center" shrinkToFit="1"/>
    </xf>
    <xf numFmtId="0" fontId="18" fillId="0" borderId="33" xfId="5" applyFont="1" applyFill="1" applyBorder="1" applyAlignment="1">
      <alignment horizontal="center" vertical="center" shrinkToFit="1"/>
    </xf>
    <xf numFmtId="0" fontId="18" fillId="0" borderId="35" xfId="5" applyFont="1" applyFill="1" applyBorder="1" applyAlignment="1">
      <alignment horizontal="center" vertical="center" shrinkToFit="1"/>
    </xf>
    <xf numFmtId="0" fontId="18" fillId="0" borderId="29" xfId="5" applyFont="1" applyFill="1" applyBorder="1" applyAlignment="1">
      <alignment horizontal="center" vertical="center" shrinkToFit="1"/>
    </xf>
    <xf numFmtId="41" fontId="18" fillId="0" borderId="24" xfId="1" applyFont="1" applyFill="1" applyBorder="1" applyAlignment="1">
      <alignment horizontal="center" vertical="center" shrinkToFit="1"/>
    </xf>
    <xf numFmtId="41" fontId="18" fillId="0" borderId="26" xfId="1" applyFont="1" applyFill="1" applyBorder="1" applyAlignment="1">
      <alignment horizontal="center" vertical="center" shrinkToFit="1"/>
    </xf>
    <xf numFmtId="9" fontId="18" fillId="0" borderId="11" xfId="1" quotePrefix="1" applyNumberFormat="1" applyFont="1" applyFill="1" applyBorder="1" applyAlignment="1">
      <alignment horizontal="right" vertical="center" shrinkToFit="1"/>
    </xf>
    <xf numFmtId="9" fontId="18" fillId="0" borderId="21" xfId="1" quotePrefix="1" applyNumberFormat="1" applyFont="1" applyFill="1" applyBorder="1" applyAlignment="1">
      <alignment horizontal="right" vertical="center" shrinkToFit="1"/>
    </xf>
    <xf numFmtId="41" fontId="18" fillId="0" borderId="14" xfId="1" applyFont="1" applyFill="1" applyBorder="1" applyAlignment="1">
      <alignment horizontal="center" vertical="center" shrinkToFit="1"/>
    </xf>
  </cellXfs>
  <cellStyles count="6">
    <cellStyle name="쉼표 [0]" xfId="1" builtinId="6"/>
    <cellStyle name="쉼표 [0]_1차2차선발전" xfId="2"/>
    <cellStyle name="쉼표 [0]_2003예산" xfId="3"/>
    <cellStyle name="쉼표 [0]_2003예산12억(최종)" xfId="4"/>
    <cellStyle name="표준" xfId="0" builtinId="0"/>
    <cellStyle name="표준_사본 - 2006예산(총회)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tabSelected="1" workbookViewId="0">
      <selection activeCell="D28" sqref="D28"/>
    </sheetView>
  </sheetViews>
  <sheetFormatPr defaultRowHeight="13.5" x14ac:dyDescent="0.15"/>
  <cols>
    <col min="1" max="1" width="5.44140625" style="191" customWidth="1"/>
    <col min="2" max="5" width="14" style="191" customWidth="1"/>
    <col min="6" max="7" width="7.77734375" style="191" customWidth="1"/>
    <col min="8" max="16384" width="8.88671875" style="191"/>
  </cols>
  <sheetData>
    <row r="1" spans="1:7" ht="20.25" customHeight="1" x14ac:dyDescent="0.15"/>
    <row r="2" spans="1:7" ht="35.25" customHeight="1" x14ac:dyDescent="0.15">
      <c r="A2" s="392" t="s">
        <v>859</v>
      </c>
      <c r="B2" s="392"/>
      <c r="C2" s="392"/>
      <c r="D2" s="392"/>
      <c r="E2" s="392"/>
      <c r="F2" s="392"/>
      <c r="G2" s="392"/>
    </row>
    <row r="3" spans="1:7" ht="30.75" customHeight="1" x14ac:dyDescent="0.15">
      <c r="A3" s="192"/>
      <c r="B3" s="192"/>
      <c r="C3" s="192"/>
      <c r="D3" s="192"/>
      <c r="E3" s="192"/>
      <c r="F3" s="192"/>
    </row>
    <row r="4" spans="1:7" s="194" customFormat="1" ht="24.95" customHeight="1" x14ac:dyDescent="0.15">
      <c r="A4" s="193"/>
      <c r="F4" s="195" t="s">
        <v>814</v>
      </c>
      <c r="G4" s="239" t="s">
        <v>815</v>
      </c>
    </row>
    <row r="5" spans="1:7" s="194" customFormat="1" ht="43.5" customHeight="1" thickBot="1" x14ac:dyDescent="0.2">
      <c r="A5" s="393" t="s">
        <v>816</v>
      </c>
      <c r="B5" s="393"/>
      <c r="C5" s="196" t="s">
        <v>860</v>
      </c>
      <c r="D5" s="196" t="s">
        <v>861</v>
      </c>
      <c r="E5" s="197" t="s">
        <v>817</v>
      </c>
      <c r="F5" s="198" t="s">
        <v>818</v>
      </c>
      <c r="G5" s="198" t="s">
        <v>819</v>
      </c>
    </row>
    <row r="6" spans="1:7" s="194" customFormat="1" ht="27.95" customHeight="1" x14ac:dyDescent="0.15">
      <c r="A6" s="394" t="s">
        <v>809</v>
      </c>
      <c r="B6" s="395"/>
      <c r="C6" s="287">
        <v>49939789</v>
      </c>
      <c r="D6" s="284">
        <v>91508846</v>
      </c>
      <c r="E6" s="199"/>
      <c r="F6" s="295"/>
      <c r="G6" s="235"/>
    </row>
    <row r="7" spans="1:7" s="194" customFormat="1" ht="27.95" customHeight="1" x14ac:dyDescent="0.15">
      <c r="A7" s="396" t="s">
        <v>820</v>
      </c>
      <c r="B7" s="279" t="s">
        <v>810</v>
      </c>
      <c r="C7" s="288">
        <v>350000000</v>
      </c>
      <c r="D7" s="285">
        <v>211821800</v>
      </c>
      <c r="E7" s="200"/>
      <c r="F7" s="235"/>
      <c r="G7" s="235"/>
    </row>
    <row r="8" spans="1:7" s="194" customFormat="1" ht="27.95" customHeight="1" x14ac:dyDescent="0.15">
      <c r="A8" s="396"/>
      <c r="B8" s="279" t="s">
        <v>821</v>
      </c>
      <c r="C8" s="288">
        <v>1548085500</v>
      </c>
      <c r="D8" s="285">
        <v>1667659012</v>
      </c>
      <c r="E8" s="200"/>
      <c r="F8" s="235"/>
      <c r="G8" s="235"/>
    </row>
    <row r="9" spans="1:7" s="194" customFormat="1" ht="27.95" customHeight="1" x14ac:dyDescent="0.15">
      <c r="A9" s="396"/>
      <c r="B9" s="279" t="s">
        <v>822</v>
      </c>
      <c r="C9" s="288"/>
      <c r="D9" s="285"/>
      <c r="E9" s="200"/>
      <c r="F9" s="235"/>
      <c r="G9" s="235"/>
    </row>
    <row r="10" spans="1:7" s="194" customFormat="1" ht="27.95" customHeight="1" x14ac:dyDescent="0.15">
      <c r="A10" s="396"/>
      <c r="B10" s="279" t="s">
        <v>823</v>
      </c>
      <c r="C10" s="288">
        <v>232544870</v>
      </c>
      <c r="D10" s="285">
        <v>395102924</v>
      </c>
      <c r="E10" s="200"/>
      <c r="F10" s="235"/>
      <c r="G10" s="235"/>
    </row>
    <row r="11" spans="1:7" s="194" customFormat="1" ht="27.95" customHeight="1" x14ac:dyDescent="0.15">
      <c r="A11" s="396"/>
      <c r="B11" s="279" t="s">
        <v>811</v>
      </c>
      <c r="C11" s="288"/>
      <c r="D11" s="285">
        <v>4000000</v>
      </c>
      <c r="E11" s="200"/>
      <c r="F11" s="235"/>
      <c r="G11" s="235"/>
    </row>
    <row r="12" spans="1:7" s="194" customFormat="1" ht="27.95" customHeight="1" x14ac:dyDescent="0.15">
      <c r="A12" s="396"/>
      <c r="B12" s="279" t="s">
        <v>1754</v>
      </c>
      <c r="C12" s="288"/>
      <c r="D12" s="285">
        <v>9450000</v>
      </c>
      <c r="E12" s="200"/>
      <c r="F12" s="235"/>
      <c r="G12" s="235"/>
    </row>
    <row r="13" spans="1:7" s="194" customFormat="1" ht="27.95" customHeight="1" x14ac:dyDescent="0.15">
      <c r="A13" s="396"/>
      <c r="B13" s="279" t="s">
        <v>824</v>
      </c>
      <c r="C13" s="288"/>
      <c r="D13" s="285">
        <v>171575</v>
      </c>
      <c r="E13" s="200"/>
      <c r="F13" s="235"/>
      <c r="G13" s="235"/>
    </row>
    <row r="14" spans="1:7" s="194" customFormat="1" ht="27.95" customHeight="1" x14ac:dyDescent="0.15">
      <c r="A14" s="396"/>
      <c r="B14" s="279" t="s">
        <v>825</v>
      </c>
      <c r="C14" s="288">
        <v>2400000</v>
      </c>
      <c r="D14" s="285">
        <v>39809531</v>
      </c>
      <c r="E14" s="200"/>
      <c r="F14" s="235"/>
      <c r="G14" s="235"/>
    </row>
    <row r="15" spans="1:7" s="194" customFormat="1" ht="27.95" customHeight="1" thickBot="1" x14ac:dyDescent="0.2">
      <c r="A15" s="397"/>
      <c r="B15" s="280" t="s">
        <v>826</v>
      </c>
      <c r="C15" s="289">
        <f>SUM(C6:C14)</f>
        <v>2182970159</v>
      </c>
      <c r="D15" s="289">
        <f>SUM(D6:D14)</f>
        <v>2419523688</v>
      </c>
      <c r="E15" s="201"/>
      <c r="F15" s="297"/>
      <c r="G15" s="236"/>
    </row>
    <row r="16" spans="1:7" s="194" customFormat="1" ht="27.95" customHeight="1" thickTop="1" x14ac:dyDescent="0.15">
      <c r="A16" s="398" t="s">
        <v>827</v>
      </c>
      <c r="B16" s="281" t="s">
        <v>828</v>
      </c>
      <c r="C16" s="290">
        <v>354821794</v>
      </c>
      <c r="D16" s="286">
        <v>308367386</v>
      </c>
      <c r="E16" s="202"/>
      <c r="F16" s="296"/>
      <c r="G16" s="237"/>
    </row>
    <row r="17" spans="1:7" s="194" customFormat="1" ht="27.95" customHeight="1" x14ac:dyDescent="0.15">
      <c r="A17" s="396"/>
      <c r="B17" s="279" t="s">
        <v>829</v>
      </c>
      <c r="C17" s="288">
        <v>391556000</v>
      </c>
      <c r="D17" s="285">
        <v>395864589</v>
      </c>
      <c r="E17" s="200"/>
      <c r="F17" s="235"/>
      <c r="G17" s="235"/>
    </row>
    <row r="18" spans="1:7" s="194" customFormat="1" ht="27.95" customHeight="1" x14ac:dyDescent="0.15">
      <c r="A18" s="396"/>
      <c r="B18" s="279" t="s">
        <v>1755</v>
      </c>
      <c r="C18" s="288">
        <v>55365500</v>
      </c>
      <c r="D18" s="285">
        <v>44448386</v>
      </c>
      <c r="E18" s="200"/>
      <c r="F18" s="235"/>
      <c r="G18" s="235"/>
    </row>
    <row r="19" spans="1:7" s="194" customFormat="1" ht="27.95" customHeight="1" x14ac:dyDescent="0.15">
      <c r="A19" s="396"/>
      <c r="B19" s="279" t="s">
        <v>1756</v>
      </c>
      <c r="C19" s="288">
        <v>47858500</v>
      </c>
      <c r="D19" s="285">
        <v>67941908</v>
      </c>
      <c r="E19" s="200"/>
      <c r="F19" s="235"/>
      <c r="G19" s="235"/>
    </row>
    <row r="20" spans="1:7" s="194" customFormat="1" ht="27.95" customHeight="1" x14ac:dyDescent="0.15">
      <c r="A20" s="396"/>
      <c r="B20" s="279" t="s">
        <v>1757</v>
      </c>
      <c r="C20" s="288">
        <v>1253248300</v>
      </c>
      <c r="D20" s="285">
        <v>1334516455</v>
      </c>
      <c r="E20" s="200"/>
      <c r="F20" s="235"/>
      <c r="G20" s="235"/>
    </row>
    <row r="21" spans="1:7" s="194" customFormat="1" ht="27.95" customHeight="1" x14ac:dyDescent="0.15">
      <c r="A21" s="396"/>
      <c r="B21" s="282" t="s">
        <v>1758</v>
      </c>
      <c r="C21" s="288">
        <v>20508000</v>
      </c>
      <c r="D21" s="285">
        <v>5531400</v>
      </c>
      <c r="E21" s="200"/>
      <c r="F21" s="235"/>
      <c r="G21" s="235"/>
    </row>
    <row r="22" spans="1:7" s="194" customFormat="1" ht="27.95" customHeight="1" x14ac:dyDescent="0.15">
      <c r="A22" s="396"/>
      <c r="B22" s="279" t="s">
        <v>1759</v>
      </c>
      <c r="C22" s="288">
        <v>5845000</v>
      </c>
      <c r="D22" s="285">
        <v>4285940</v>
      </c>
      <c r="E22" s="200"/>
      <c r="F22" s="295"/>
      <c r="G22" s="235"/>
    </row>
    <row r="23" spans="1:7" s="194" customFormat="1" ht="27.95" customHeight="1" x14ac:dyDescent="0.15">
      <c r="A23" s="396"/>
      <c r="B23" s="279" t="s">
        <v>1760</v>
      </c>
      <c r="C23" s="288">
        <v>58500000</v>
      </c>
      <c r="D23" s="285">
        <v>58500000</v>
      </c>
      <c r="E23" s="200"/>
      <c r="F23" s="235"/>
      <c r="G23" s="235"/>
    </row>
    <row r="24" spans="1:7" s="194" customFormat="1" ht="27.95" customHeight="1" x14ac:dyDescent="0.15">
      <c r="A24" s="396"/>
      <c r="B24" s="279" t="s">
        <v>1761</v>
      </c>
      <c r="C24" s="288">
        <v>49939789</v>
      </c>
      <c r="D24" s="285">
        <v>134147712</v>
      </c>
      <c r="E24" s="200"/>
      <c r="F24" s="235"/>
      <c r="G24" s="235"/>
    </row>
    <row r="25" spans="1:7" s="194" customFormat="1" ht="27.95" customHeight="1" x14ac:dyDescent="0.15">
      <c r="A25" s="396"/>
      <c r="B25" s="279" t="s">
        <v>1762</v>
      </c>
      <c r="C25" s="288"/>
      <c r="D25" s="285">
        <v>8354520</v>
      </c>
      <c r="E25" s="200"/>
      <c r="F25" s="235"/>
      <c r="G25" s="235"/>
    </row>
    <row r="26" spans="1:7" s="194" customFormat="1" ht="27.95" customHeight="1" x14ac:dyDescent="0.15">
      <c r="A26" s="396"/>
      <c r="B26" s="279" t="s">
        <v>1763</v>
      </c>
      <c r="C26" s="288"/>
      <c r="D26" s="285">
        <v>22000000</v>
      </c>
      <c r="E26" s="200"/>
      <c r="F26" s="235"/>
      <c r="G26" s="235"/>
    </row>
    <row r="27" spans="1:7" s="194" customFormat="1" ht="27.95" customHeight="1" x14ac:dyDescent="0.15">
      <c r="A27" s="396"/>
      <c r="B27" s="279" t="s">
        <v>830</v>
      </c>
      <c r="C27" s="288"/>
      <c r="D27" s="285">
        <v>35565392</v>
      </c>
      <c r="E27" s="200"/>
      <c r="F27" s="295"/>
      <c r="G27" s="235"/>
    </row>
    <row r="28" spans="1:7" s="194" customFormat="1" ht="27.95" customHeight="1" thickBot="1" x14ac:dyDescent="0.2">
      <c r="A28" s="399"/>
      <c r="B28" s="283" t="s">
        <v>826</v>
      </c>
      <c r="C28" s="291">
        <f>SUM(C16:C27)</f>
        <v>2237642883</v>
      </c>
      <c r="D28" s="291">
        <f>SUM(D16:D27)</f>
        <v>2419523688</v>
      </c>
      <c r="E28" s="203"/>
      <c r="F28" s="238"/>
      <c r="G28" s="238"/>
    </row>
    <row r="29" spans="1:7" ht="14.25" x14ac:dyDescent="0.15">
      <c r="A29" s="204"/>
      <c r="B29" s="205"/>
      <c r="C29" s="205"/>
      <c r="D29" s="205"/>
    </row>
  </sheetData>
  <mergeCells count="5">
    <mergeCell ref="A2:G2"/>
    <mergeCell ref="A5:B5"/>
    <mergeCell ref="A6:B6"/>
    <mergeCell ref="A7:A15"/>
    <mergeCell ref="A16:A28"/>
  </mergeCells>
  <phoneticPr fontId="2" type="noConversion"/>
  <pageMargins left="0.7" right="0.33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6"/>
  <sheetViews>
    <sheetView showGridLines="0" workbookViewId="0">
      <selection activeCell="E32" sqref="E32"/>
    </sheetView>
  </sheetViews>
  <sheetFormatPr defaultRowHeight="16.5" customHeight="1" x14ac:dyDescent="0.15"/>
  <cols>
    <col min="1" max="1" width="8.21875" style="207" customWidth="1"/>
    <col min="2" max="2" width="7.109375" style="207" customWidth="1"/>
    <col min="3" max="3" width="12.5546875" style="207" customWidth="1"/>
    <col min="4" max="5" width="13.77734375" style="208" customWidth="1"/>
    <col min="6" max="6" width="13.77734375" style="209" customWidth="1"/>
    <col min="7" max="7" width="6.88671875" style="209" customWidth="1"/>
    <col min="8" max="16384" width="8.88671875" style="206"/>
  </cols>
  <sheetData>
    <row r="2" spans="1:7" ht="27.75" customHeight="1" x14ac:dyDescent="0.15">
      <c r="A2" s="408" t="s">
        <v>857</v>
      </c>
      <c r="B2" s="408"/>
      <c r="C2" s="408"/>
      <c r="D2" s="408"/>
      <c r="E2" s="408"/>
      <c r="F2" s="408"/>
      <c r="G2" s="408"/>
    </row>
    <row r="3" spans="1:7" ht="24.95" customHeight="1" x14ac:dyDescent="0.15">
      <c r="G3" s="195" t="s">
        <v>815</v>
      </c>
    </row>
    <row r="4" spans="1:7" ht="21.6" customHeight="1" x14ac:dyDescent="0.15">
      <c r="A4" s="409" t="s">
        <v>831</v>
      </c>
      <c r="B4" s="410"/>
      <c r="C4" s="411"/>
      <c r="D4" s="412" t="s">
        <v>1677</v>
      </c>
      <c r="E4" s="414" t="s">
        <v>1678</v>
      </c>
      <c r="F4" s="416" t="s">
        <v>832</v>
      </c>
      <c r="G4" s="416" t="s">
        <v>818</v>
      </c>
    </row>
    <row r="5" spans="1:7" ht="21.6" customHeight="1" thickBot="1" x14ac:dyDescent="0.2">
      <c r="A5" s="210" t="s">
        <v>833</v>
      </c>
      <c r="B5" s="211" t="s">
        <v>834</v>
      </c>
      <c r="C5" s="211" t="s">
        <v>835</v>
      </c>
      <c r="D5" s="413"/>
      <c r="E5" s="415"/>
      <c r="F5" s="417"/>
      <c r="G5" s="417"/>
    </row>
    <row r="6" spans="1:7" ht="21.6" customHeight="1" thickBot="1" x14ac:dyDescent="0.2">
      <c r="A6" s="212" t="s">
        <v>814</v>
      </c>
      <c r="B6" s="406" t="s">
        <v>836</v>
      </c>
      <c r="C6" s="407"/>
      <c r="D6" s="242">
        <v>49939789</v>
      </c>
      <c r="E6" s="263">
        <v>91508846</v>
      </c>
      <c r="F6" s="298"/>
      <c r="G6" s="305"/>
    </row>
    <row r="7" spans="1:7" ht="21.6" customHeight="1" thickBot="1" x14ac:dyDescent="0.2">
      <c r="A7" s="213" t="s">
        <v>837</v>
      </c>
      <c r="B7" s="402" t="s">
        <v>814</v>
      </c>
      <c r="C7" s="403"/>
      <c r="D7" s="233">
        <v>350000000</v>
      </c>
      <c r="E7" s="264">
        <v>211821800</v>
      </c>
      <c r="F7" s="298"/>
      <c r="G7" s="241"/>
    </row>
    <row r="8" spans="1:7" ht="21.6" customHeight="1" thickBot="1" x14ac:dyDescent="0.2">
      <c r="A8" s="212" t="s">
        <v>838</v>
      </c>
      <c r="B8" s="406" t="s">
        <v>839</v>
      </c>
      <c r="C8" s="407"/>
      <c r="D8" s="242">
        <f>D9+D19</f>
        <v>1548085500</v>
      </c>
      <c r="E8" s="242">
        <f>E9+E19</f>
        <v>1667659012</v>
      </c>
      <c r="F8" s="298"/>
      <c r="G8" s="241"/>
    </row>
    <row r="9" spans="1:7" ht="21.6" customHeight="1" x14ac:dyDescent="0.15">
      <c r="A9" s="214" t="s">
        <v>814</v>
      </c>
      <c r="B9" s="212" t="s">
        <v>840</v>
      </c>
      <c r="C9" s="256" t="s">
        <v>841</v>
      </c>
      <c r="D9" s="215">
        <f>SUM(D10:D18)</f>
        <v>1548085500</v>
      </c>
      <c r="E9" s="215">
        <f>SUM(E10:E18)</f>
        <v>1667659012</v>
      </c>
      <c r="F9" s="299"/>
      <c r="G9" s="230"/>
    </row>
    <row r="10" spans="1:7" ht="21.6" customHeight="1" x14ac:dyDescent="0.15">
      <c r="A10" s="214"/>
      <c r="B10" s="216"/>
      <c r="C10" s="258" t="s">
        <v>842</v>
      </c>
      <c r="D10" s="217">
        <v>99208200</v>
      </c>
      <c r="E10" s="231">
        <v>102192050</v>
      </c>
      <c r="F10" s="300"/>
      <c r="G10" s="240"/>
    </row>
    <row r="11" spans="1:7" ht="21.6" customHeight="1" x14ac:dyDescent="0.15">
      <c r="A11" s="214"/>
      <c r="B11" s="216"/>
      <c r="C11" s="258" t="s">
        <v>843</v>
      </c>
      <c r="D11" s="217">
        <v>24000000</v>
      </c>
      <c r="E11" s="231">
        <v>24000000</v>
      </c>
      <c r="F11" s="300"/>
      <c r="G11" s="240"/>
    </row>
    <row r="12" spans="1:7" ht="21.6" customHeight="1" x14ac:dyDescent="0.15">
      <c r="A12" s="214"/>
      <c r="B12" s="216"/>
      <c r="C12" s="258" t="s">
        <v>844</v>
      </c>
      <c r="D12" s="217">
        <v>831370000</v>
      </c>
      <c r="E12" s="231">
        <v>916114700</v>
      </c>
      <c r="F12" s="300"/>
      <c r="G12" s="240"/>
    </row>
    <row r="13" spans="1:7" ht="21.6" customHeight="1" x14ac:dyDescent="0.15">
      <c r="A13" s="214"/>
      <c r="B13" s="216"/>
      <c r="C13" s="258" t="s">
        <v>845</v>
      </c>
      <c r="D13" s="217">
        <v>166727000</v>
      </c>
      <c r="E13" s="231">
        <v>180724280</v>
      </c>
      <c r="F13" s="300"/>
      <c r="G13" s="240"/>
    </row>
    <row r="14" spans="1:7" ht="21.6" customHeight="1" x14ac:dyDescent="0.15">
      <c r="A14" s="214"/>
      <c r="B14" s="216"/>
      <c r="C14" s="258" t="s">
        <v>846</v>
      </c>
      <c r="D14" s="217">
        <v>129666300</v>
      </c>
      <c r="E14" s="231">
        <v>133298000</v>
      </c>
      <c r="F14" s="300"/>
      <c r="G14" s="240"/>
    </row>
    <row r="15" spans="1:7" ht="21.6" customHeight="1" x14ac:dyDescent="0.15">
      <c r="A15" s="214"/>
      <c r="B15" s="216"/>
      <c r="C15" s="258" t="s">
        <v>847</v>
      </c>
      <c r="D15" s="217">
        <v>11400000</v>
      </c>
      <c r="E15" s="231">
        <v>20467740</v>
      </c>
      <c r="F15" s="300"/>
      <c r="G15" s="240"/>
    </row>
    <row r="16" spans="1:7" ht="21.6" customHeight="1" x14ac:dyDescent="0.15">
      <c r="A16" s="214"/>
      <c r="B16" s="219" t="s">
        <v>814</v>
      </c>
      <c r="C16" s="259" t="s">
        <v>848</v>
      </c>
      <c r="D16" s="217">
        <v>47425500</v>
      </c>
      <c r="E16" s="231">
        <v>44128000</v>
      </c>
      <c r="F16" s="300"/>
      <c r="G16" s="240"/>
    </row>
    <row r="17" spans="1:7" ht="21.6" customHeight="1" x14ac:dyDescent="0.15">
      <c r="A17" s="214"/>
      <c r="B17" s="219"/>
      <c r="C17" s="260" t="s">
        <v>1679</v>
      </c>
      <c r="D17" s="220">
        <v>42288500</v>
      </c>
      <c r="E17" s="266">
        <v>50734242</v>
      </c>
      <c r="F17" s="300"/>
      <c r="G17" s="240"/>
    </row>
    <row r="18" spans="1:7" ht="21.6" customHeight="1" thickBot="1" x14ac:dyDescent="0.2">
      <c r="A18" s="214"/>
      <c r="B18" s="216"/>
      <c r="C18" s="260" t="s">
        <v>1680</v>
      </c>
      <c r="D18" s="220">
        <v>196000000</v>
      </c>
      <c r="E18" s="266">
        <v>196000000</v>
      </c>
      <c r="F18" s="302"/>
      <c r="G18" s="294"/>
    </row>
    <row r="19" spans="1:7" ht="21.6" customHeight="1" x14ac:dyDescent="0.15">
      <c r="A19" s="214"/>
      <c r="B19" s="212" t="s">
        <v>849</v>
      </c>
      <c r="C19" s="261" t="s">
        <v>841</v>
      </c>
      <c r="D19" s="215"/>
      <c r="E19" s="265"/>
      <c r="F19" s="299"/>
      <c r="G19" s="230"/>
    </row>
    <row r="20" spans="1:7" ht="21.6" customHeight="1" thickBot="1" x14ac:dyDescent="0.2">
      <c r="A20" s="214"/>
      <c r="B20" s="221" t="s">
        <v>814</v>
      </c>
      <c r="C20" s="262" t="s">
        <v>850</v>
      </c>
      <c r="D20" s="220"/>
      <c r="E20" s="266"/>
      <c r="F20" s="304"/>
      <c r="G20" s="218"/>
    </row>
    <row r="21" spans="1:7" ht="21.6" customHeight="1" x14ac:dyDescent="0.15">
      <c r="A21" s="212" t="s">
        <v>851</v>
      </c>
      <c r="B21" s="404" t="s">
        <v>839</v>
      </c>
      <c r="C21" s="405"/>
      <c r="D21" s="243">
        <f>SUM(D22:D25)</f>
        <v>232544870</v>
      </c>
      <c r="E21" s="243">
        <f>SUM(E22:E25)</f>
        <v>395102924</v>
      </c>
      <c r="F21" s="303"/>
      <c r="G21" s="230"/>
    </row>
    <row r="22" spans="1:7" ht="21.6" customHeight="1" x14ac:dyDescent="0.15">
      <c r="A22" s="214"/>
      <c r="B22" s="400" t="s">
        <v>1681</v>
      </c>
      <c r="C22" s="423"/>
      <c r="D22" s="223">
        <v>46152770</v>
      </c>
      <c r="E22" s="267">
        <v>54102944</v>
      </c>
      <c r="F22" s="300"/>
      <c r="G22" s="240"/>
    </row>
    <row r="23" spans="1:7" ht="21.6" customHeight="1" x14ac:dyDescent="0.15">
      <c r="A23" s="214"/>
      <c r="B23" s="400" t="s">
        <v>1682</v>
      </c>
      <c r="C23" s="423"/>
      <c r="D23" s="223">
        <v>177141000</v>
      </c>
      <c r="E23" s="267">
        <v>328082150</v>
      </c>
      <c r="F23" s="300"/>
      <c r="G23" s="240"/>
    </row>
    <row r="24" spans="1:7" ht="21.6" customHeight="1" x14ac:dyDescent="0.15">
      <c r="A24" s="214"/>
      <c r="B24" s="400" t="s">
        <v>1683</v>
      </c>
      <c r="C24" s="423"/>
      <c r="D24" s="472"/>
      <c r="E24" s="473">
        <v>4000000</v>
      </c>
      <c r="F24" s="302"/>
      <c r="G24" s="240"/>
    </row>
    <row r="25" spans="1:7" ht="21.6" customHeight="1" thickBot="1" x14ac:dyDescent="0.2">
      <c r="A25" s="214"/>
      <c r="B25" s="475" t="s">
        <v>1684</v>
      </c>
      <c r="C25" s="476"/>
      <c r="D25" s="472">
        <v>9251100</v>
      </c>
      <c r="E25" s="473">
        <v>8917830</v>
      </c>
      <c r="F25" s="302"/>
      <c r="G25" s="474"/>
    </row>
    <row r="26" spans="1:7" ht="21.6" customHeight="1" x14ac:dyDescent="0.15">
      <c r="A26" s="212" t="s">
        <v>852</v>
      </c>
      <c r="B26" s="404" t="s">
        <v>839</v>
      </c>
      <c r="C26" s="405"/>
      <c r="D26" s="243">
        <f>SUM(D27)</f>
        <v>0</v>
      </c>
      <c r="E26" s="243">
        <f>SUM(E27)</f>
        <v>4000000</v>
      </c>
      <c r="F26" s="230"/>
      <c r="G26" s="230"/>
    </row>
    <row r="27" spans="1:7" ht="21.6" customHeight="1" thickBot="1" x14ac:dyDescent="0.2">
      <c r="A27" s="214"/>
      <c r="B27" s="418" t="s">
        <v>1685</v>
      </c>
      <c r="C27" s="419"/>
      <c r="D27" s="472"/>
      <c r="E27" s="473">
        <v>4000000</v>
      </c>
      <c r="F27" s="302"/>
      <c r="G27" s="306"/>
    </row>
    <row r="28" spans="1:7" ht="21.6" customHeight="1" x14ac:dyDescent="0.15">
      <c r="A28" s="212" t="s">
        <v>1686</v>
      </c>
      <c r="B28" s="478" t="s">
        <v>1687</v>
      </c>
      <c r="C28" s="479"/>
      <c r="D28" s="244">
        <f>SUM(D29)</f>
        <v>0</v>
      </c>
      <c r="E28" s="244">
        <f>SUM(E29)</f>
        <v>9450000</v>
      </c>
      <c r="F28" s="298"/>
      <c r="G28" s="241"/>
    </row>
    <row r="29" spans="1:7" ht="21.6" customHeight="1" thickBot="1" x14ac:dyDescent="0.2">
      <c r="A29" s="214" t="s">
        <v>814</v>
      </c>
      <c r="B29" s="400" t="s">
        <v>1688</v>
      </c>
      <c r="C29" s="401"/>
      <c r="D29" s="217"/>
      <c r="E29" s="231">
        <v>9450000</v>
      </c>
      <c r="F29" s="302"/>
      <c r="G29" s="306"/>
    </row>
    <row r="30" spans="1:7" ht="21.6" customHeight="1" x14ac:dyDescent="0.15">
      <c r="A30" s="212" t="s">
        <v>853</v>
      </c>
      <c r="B30" s="404" t="s">
        <v>839</v>
      </c>
      <c r="C30" s="405"/>
      <c r="D30" s="243">
        <f>SUM(D31)</f>
        <v>0</v>
      </c>
      <c r="E30" s="243">
        <f>SUM(E31)</f>
        <v>171575</v>
      </c>
      <c r="F30" s="299"/>
      <c r="G30" s="230"/>
    </row>
    <row r="31" spans="1:7" ht="21.6" customHeight="1" thickBot="1" x14ac:dyDescent="0.2">
      <c r="A31" s="214"/>
      <c r="B31" s="400" t="s">
        <v>854</v>
      </c>
      <c r="C31" s="401"/>
      <c r="D31" s="223"/>
      <c r="E31" s="267">
        <v>171575</v>
      </c>
      <c r="F31" s="304"/>
      <c r="G31" s="240"/>
    </row>
    <row r="32" spans="1:7" ht="21.6" customHeight="1" x14ac:dyDescent="0.15">
      <c r="A32" s="212" t="s">
        <v>855</v>
      </c>
      <c r="B32" s="404" t="s">
        <v>839</v>
      </c>
      <c r="C32" s="405"/>
      <c r="D32" s="243">
        <f>SUM(D33)</f>
        <v>2400000</v>
      </c>
      <c r="E32" s="243">
        <f>SUM(E33)</f>
        <v>39809531</v>
      </c>
      <c r="F32" s="303"/>
      <c r="G32" s="230"/>
    </row>
    <row r="33" spans="1:7" ht="21.6" customHeight="1" thickBot="1" x14ac:dyDescent="0.2">
      <c r="A33" s="214"/>
      <c r="B33" s="400" t="s">
        <v>1689</v>
      </c>
      <c r="C33" s="401"/>
      <c r="D33" s="223">
        <v>2400000</v>
      </c>
      <c r="E33" s="267">
        <v>39809531</v>
      </c>
      <c r="F33" s="302"/>
      <c r="G33" s="218"/>
    </row>
    <row r="34" spans="1:7" ht="21.6" customHeight="1" thickBot="1" x14ac:dyDescent="0.2">
      <c r="A34" s="402" t="s">
        <v>826</v>
      </c>
      <c r="B34" s="403"/>
      <c r="C34" s="403"/>
      <c r="D34" s="233">
        <f>D6+D7+D8+D21+D26+D28+D30+D32</f>
        <v>2182970159</v>
      </c>
      <c r="E34" s="233">
        <f>E6+E7+E8+E21+E26+E28+E30+E32</f>
        <v>2419523688</v>
      </c>
      <c r="F34" s="301"/>
      <c r="G34" s="312"/>
    </row>
    <row r="35" spans="1:7" ht="6" customHeight="1" x14ac:dyDescent="0.15"/>
    <row r="36" spans="1:7" ht="20.100000000000001" customHeight="1" x14ac:dyDescent="0.15"/>
  </sheetData>
  <mergeCells count="23">
    <mergeCell ref="A2:G2"/>
    <mergeCell ref="A4:C4"/>
    <mergeCell ref="D4:D5"/>
    <mergeCell ref="E4:E5"/>
    <mergeCell ref="F4:F5"/>
    <mergeCell ref="G4:G5"/>
    <mergeCell ref="B6:C6"/>
    <mergeCell ref="B7:C7"/>
    <mergeCell ref="B8:C8"/>
    <mergeCell ref="B21:C21"/>
    <mergeCell ref="B22:C22"/>
    <mergeCell ref="B23:C23"/>
    <mergeCell ref="A34:C34"/>
    <mergeCell ref="B32:C32"/>
    <mergeCell ref="B33:C33"/>
    <mergeCell ref="B25:C25"/>
    <mergeCell ref="B26:C26"/>
    <mergeCell ref="B27:C27"/>
    <mergeCell ref="B29:C29"/>
    <mergeCell ref="B30:C30"/>
    <mergeCell ref="B31:C31"/>
    <mergeCell ref="B24:C24"/>
    <mergeCell ref="B28:C28"/>
  </mergeCells>
  <phoneticPr fontId="2" type="noConversion"/>
  <pageMargins left="0.7" right="0.44" top="0.65" bottom="0.28999999999999998" header="0.3" footer="0.2"/>
  <pageSetup paperSize="9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91"/>
  <sheetViews>
    <sheetView showGridLines="0" workbookViewId="0">
      <selection activeCell="E85" sqref="E85"/>
    </sheetView>
  </sheetViews>
  <sheetFormatPr defaultRowHeight="16.5" customHeight="1" x14ac:dyDescent="0.15"/>
  <cols>
    <col min="1" max="1" width="7.5546875" style="207" customWidth="1"/>
    <col min="2" max="2" width="7.77734375" style="207" customWidth="1"/>
    <col min="3" max="3" width="12.33203125" style="207" customWidth="1"/>
    <col min="4" max="5" width="13.77734375" style="208" customWidth="1"/>
    <col min="6" max="6" width="13.77734375" style="209" customWidth="1"/>
    <col min="7" max="7" width="7.44140625" style="209" customWidth="1"/>
    <col min="8" max="8" width="3.109375" style="206" customWidth="1"/>
    <col min="9" max="16384" width="8.88671875" style="206"/>
  </cols>
  <sheetData>
    <row r="2" spans="1:7" ht="27.75" customHeight="1" x14ac:dyDescent="0.15">
      <c r="A2" s="428" t="s">
        <v>136</v>
      </c>
      <c r="B2" s="428"/>
      <c r="C2" s="428"/>
      <c r="D2" s="428"/>
      <c r="E2" s="428"/>
      <c r="F2" s="428"/>
      <c r="G2" s="428"/>
    </row>
    <row r="3" spans="1:7" ht="24.95" customHeight="1" x14ac:dyDescent="0.15">
      <c r="A3" s="408" t="s">
        <v>858</v>
      </c>
      <c r="B3" s="408"/>
      <c r="C3" s="408"/>
      <c r="D3" s="408"/>
      <c r="E3" s="408"/>
      <c r="F3" s="408"/>
      <c r="G3" s="408"/>
    </row>
    <row r="4" spans="1:7" ht="27.75" customHeight="1" x14ac:dyDescent="0.15">
      <c r="G4" s="195" t="s">
        <v>807</v>
      </c>
    </row>
    <row r="5" spans="1:7" ht="22.5" customHeight="1" x14ac:dyDescent="0.15">
      <c r="A5" s="409" t="s">
        <v>806</v>
      </c>
      <c r="B5" s="410"/>
      <c r="C5" s="410"/>
      <c r="D5" s="412" t="s">
        <v>1677</v>
      </c>
      <c r="E5" s="429" t="s">
        <v>1690</v>
      </c>
      <c r="F5" s="416" t="s">
        <v>808</v>
      </c>
      <c r="G5" s="416" t="s">
        <v>805</v>
      </c>
    </row>
    <row r="6" spans="1:7" ht="22.5" customHeight="1" thickBot="1" x14ac:dyDescent="0.2">
      <c r="A6" s="210" t="s">
        <v>4</v>
      </c>
      <c r="B6" s="211" t="s">
        <v>5</v>
      </c>
      <c r="C6" s="268" t="s">
        <v>6</v>
      </c>
      <c r="D6" s="422"/>
      <c r="E6" s="430"/>
      <c r="F6" s="417"/>
      <c r="G6" s="417"/>
    </row>
    <row r="7" spans="1:7" ht="22.5" customHeight="1" thickBot="1" x14ac:dyDescent="0.2">
      <c r="A7" s="212" t="s">
        <v>7</v>
      </c>
      <c r="B7" s="406" t="s">
        <v>803</v>
      </c>
      <c r="C7" s="407"/>
      <c r="D7" s="225">
        <f>D8+D31+D34</f>
        <v>354821794</v>
      </c>
      <c r="E7" s="482">
        <f>E8+E31+E34</f>
        <v>308367386</v>
      </c>
      <c r="F7" s="298"/>
      <c r="G7" s="241"/>
    </row>
    <row r="8" spans="1:7" ht="22.5" customHeight="1" x14ac:dyDescent="0.15">
      <c r="A8" s="214"/>
      <c r="B8" s="212" t="s">
        <v>8</v>
      </c>
      <c r="C8" s="256" t="s">
        <v>802</v>
      </c>
      <c r="D8" s="244">
        <f>SUM(D9:D30)</f>
        <v>71540000</v>
      </c>
      <c r="E8" s="244">
        <f>SUM(E9:E30)</f>
        <v>62678526</v>
      </c>
      <c r="F8" s="299"/>
      <c r="G8" s="230"/>
    </row>
    <row r="9" spans="1:7" ht="22.5" customHeight="1" x14ac:dyDescent="0.15">
      <c r="A9" s="214"/>
      <c r="B9" s="214"/>
      <c r="C9" s="257" t="s">
        <v>1195</v>
      </c>
      <c r="D9" s="217">
        <v>480000</v>
      </c>
      <c r="E9" s="231">
        <v>378000</v>
      </c>
      <c r="F9" s="300"/>
      <c r="G9" s="240"/>
    </row>
    <row r="10" spans="1:7" ht="22.5" customHeight="1" x14ac:dyDescent="0.15">
      <c r="A10" s="214"/>
      <c r="B10" s="214"/>
      <c r="C10" s="257" t="s">
        <v>1691</v>
      </c>
      <c r="D10" s="217">
        <v>1200000</v>
      </c>
      <c r="E10" s="231">
        <v>616900</v>
      </c>
      <c r="F10" s="300"/>
      <c r="G10" s="240"/>
    </row>
    <row r="11" spans="1:7" ht="22.5" customHeight="1" x14ac:dyDescent="0.15">
      <c r="A11" s="214"/>
      <c r="B11" s="214"/>
      <c r="C11" s="257" t="s">
        <v>896</v>
      </c>
      <c r="D11" s="217">
        <v>3600000</v>
      </c>
      <c r="E11" s="231">
        <v>4278920</v>
      </c>
      <c r="F11" s="300"/>
      <c r="G11" s="240"/>
    </row>
    <row r="12" spans="1:7" ht="22.5" customHeight="1" x14ac:dyDescent="0.15">
      <c r="A12" s="214"/>
      <c r="B12" s="214"/>
      <c r="C12" s="364" t="s">
        <v>1692</v>
      </c>
      <c r="D12" s="217">
        <v>2400000</v>
      </c>
      <c r="E12" s="231">
        <v>1560900</v>
      </c>
      <c r="F12" s="300"/>
      <c r="G12" s="240"/>
    </row>
    <row r="13" spans="1:7" ht="22.5" customHeight="1" x14ac:dyDescent="0.15">
      <c r="A13" s="214"/>
      <c r="B13" s="214"/>
      <c r="C13" s="364" t="s">
        <v>1693</v>
      </c>
      <c r="D13" s="217">
        <v>6000000</v>
      </c>
      <c r="E13" s="231">
        <v>4085000</v>
      </c>
      <c r="F13" s="300"/>
      <c r="G13" s="240"/>
    </row>
    <row r="14" spans="1:7" ht="22.5" customHeight="1" x14ac:dyDescent="0.15">
      <c r="A14" s="214"/>
      <c r="B14" s="214"/>
      <c r="C14" s="364" t="s">
        <v>1694</v>
      </c>
      <c r="D14" s="217">
        <v>5000000</v>
      </c>
      <c r="E14" s="231">
        <v>7903550</v>
      </c>
      <c r="F14" s="300"/>
      <c r="G14" s="240"/>
    </row>
    <row r="15" spans="1:7" ht="22.5" customHeight="1" x14ac:dyDescent="0.15">
      <c r="A15" s="214"/>
      <c r="B15" s="214"/>
      <c r="C15" s="364" t="s">
        <v>1291</v>
      </c>
      <c r="D15" s="217">
        <v>12000000</v>
      </c>
      <c r="E15" s="231">
        <v>7731712</v>
      </c>
      <c r="F15" s="300"/>
      <c r="G15" s="240"/>
    </row>
    <row r="16" spans="1:7" ht="22.5" customHeight="1" x14ac:dyDescent="0.15">
      <c r="A16" s="214"/>
      <c r="B16" s="214"/>
      <c r="C16" s="364" t="s">
        <v>1695</v>
      </c>
      <c r="D16" s="217">
        <v>600000</v>
      </c>
      <c r="E16" s="231">
        <v>600000</v>
      </c>
      <c r="F16" s="300"/>
      <c r="G16" s="240"/>
    </row>
    <row r="17" spans="1:7" ht="22.5" customHeight="1" x14ac:dyDescent="0.15">
      <c r="A17" s="214"/>
      <c r="B17" s="214"/>
      <c r="C17" s="364" t="s">
        <v>1696</v>
      </c>
      <c r="D17" s="217">
        <v>3300000</v>
      </c>
      <c r="E17" s="231"/>
      <c r="F17" s="300"/>
      <c r="G17" s="240"/>
    </row>
    <row r="18" spans="1:7" ht="22.5" customHeight="1" x14ac:dyDescent="0.15">
      <c r="A18" s="214"/>
      <c r="B18" s="214"/>
      <c r="C18" s="364" t="s">
        <v>1697</v>
      </c>
      <c r="D18" s="217">
        <v>2500000</v>
      </c>
      <c r="E18" s="231"/>
      <c r="F18" s="300"/>
      <c r="G18" s="240"/>
    </row>
    <row r="19" spans="1:7" ht="22.5" customHeight="1" x14ac:dyDescent="0.15">
      <c r="A19" s="214"/>
      <c r="B19" s="214"/>
      <c r="C19" s="364" t="s">
        <v>1297</v>
      </c>
      <c r="D19" s="217">
        <v>1800000</v>
      </c>
      <c r="E19" s="231">
        <v>1070670</v>
      </c>
      <c r="F19" s="300"/>
      <c r="G19" s="240"/>
    </row>
    <row r="20" spans="1:7" ht="22.5" customHeight="1" x14ac:dyDescent="0.15">
      <c r="A20" s="214"/>
      <c r="B20" s="214"/>
      <c r="C20" s="364" t="s">
        <v>1698</v>
      </c>
      <c r="D20" s="217">
        <v>3000000</v>
      </c>
      <c r="E20" s="231">
        <v>2757270</v>
      </c>
      <c r="F20" s="300"/>
      <c r="G20" s="240"/>
    </row>
    <row r="21" spans="1:7" ht="22.5" customHeight="1" x14ac:dyDescent="0.15">
      <c r="A21" s="214"/>
      <c r="B21" s="214"/>
      <c r="C21" s="364" t="s">
        <v>1699</v>
      </c>
      <c r="D21" s="217">
        <v>1920000</v>
      </c>
      <c r="E21" s="231">
        <v>1957028</v>
      </c>
      <c r="F21" s="300"/>
      <c r="G21" s="240"/>
    </row>
    <row r="22" spans="1:7" ht="22.5" customHeight="1" x14ac:dyDescent="0.15">
      <c r="A22" s="214"/>
      <c r="B22" s="214"/>
      <c r="C22" s="364" t="s">
        <v>1700</v>
      </c>
      <c r="D22" s="217">
        <v>4000000</v>
      </c>
      <c r="E22" s="231">
        <v>5974976</v>
      </c>
      <c r="F22" s="300"/>
      <c r="G22" s="240"/>
    </row>
    <row r="23" spans="1:7" ht="22.5" customHeight="1" x14ac:dyDescent="0.15">
      <c r="A23" s="214"/>
      <c r="B23" s="214"/>
      <c r="C23" s="364" t="s">
        <v>1701</v>
      </c>
      <c r="D23" s="217">
        <v>4320000</v>
      </c>
      <c r="E23" s="231">
        <v>1870000</v>
      </c>
      <c r="F23" s="300"/>
      <c r="G23" s="240"/>
    </row>
    <row r="24" spans="1:7" ht="22.5" customHeight="1" x14ac:dyDescent="0.15">
      <c r="A24" s="214"/>
      <c r="B24" s="214"/>
      <c r="C24" s="364" t="s">
        <v>1702</v>
      </c>
      <c r="D24" s="217">
        <v>400000</v>
      </c>
      <c r="E24" s="231">
        <v>1397150</v>
      </c>
      <c r="F24" s="300"/>
      <c r="G24" s="240"/>
    </row>
    <row r="25" spans="1:7" ht="22.5" customHeight="1" x14ac:dyDescent="0.15">
      <c r="A25" s="214"/>
      <c r="B25" s="214"/>
      <c r="C25" s="364" t="s">
        <v>1703</v>
      </c>
      <c r="D25" s="217">
        <v>2040000</v>
      </c>
      <c r="E25" s="231">
        <v>2290000</v>
      </c>
      <c r="F25" s="300"/>
      <c r="G25" s="240"/>
    </row>
    <row r="26" spans="1:7" ht="22.5" customHeight="1" x14ac:dyDescent="0.15">
      <c r="A26" s="214"/>
      <c r="B26" s="214"/>
      <c r="C26" s="364" t="s">
        <v>1704</v>
      </c>
      <c r="D26" s="217">
        <v>1980000</v>
      </c>
      <c r="E26" s="231">
        <v>1980000</v>
      </c>
      <c r="F26" s="300"/>
      <c r="G26" s="240"/>
    </row>
    <row r="27" spans="1:7" ht="22.5" customHeight="1" x14ac:dyDescent="0.15">
      <c r="A27" s="214"/>
      <c r="B27" s="214"/>
      <c r="C27" s="364" t="s">
        <v>1705</v>
      </c>
      <c r="D27" s="217">
        <v>15000000</v>
      </c>
      <c r="E27" s="231">
        <v>9173650</v>
      </c>
      <c r="F27" s="300"/>
      <c r="G27" s="240"/>
    </row>
    <row r="28" spans="1:7" ht="22.5" customHeight="1" x14ac:dyDescent="0.15">
      <c r="A28" s="214"/>
      <c r="B28" s="214"/>
      <c r="C28" s="257" t="s">
        <v>1706</v>
      </c>
      <c r="D28" s="217"/>
      <c r="E28" s="231">
        <v>994400</v>
      </c>
      <c r="F28" s="300"/>
      <c r="G28" s="240"/>
    </row>
    <row r="29" spans="1:7" ht="22.5" customHeight="1" x14ac:dyDescent="0.15">
      <c r="A29" s="214"/>
      <c r="B29" s="214"/>
      <c r="C29" s="257" t="s">
        <v>879</v>
      </c>
      <c r="D29" s="217"/>
      <c r="E29" s="231">
        <v>2116400</v>
      </c>
      <c r="F29" s="300"/>
      <c r="G29" s="240"/>
    </row>
    <row r="30" spans="1:7" ht="22.5" customHeight="1" thickBot="1" x14ac:dyDescent="0.2">
      <c r="A30" s="214"/>
      <c r="B30" s="214"/>
      <c r="C30" s="257" t="s">
        <v>1707</v>
      </c>
      <c r="D30" s="217"/>
      <c r="E30" s="231">
        <v>3942000</v>
      </c>
      <c r="F30" s="300"/>
      <c r="G30" s="240"/>
    </row>
    <row r="31" spans="1:7" ht="22.5" customHeight="1" x14ac:dyDescent="0.15">
      <c r="A31" s="214"/>
      <c r="B31" s="212" t="s">
        <v>709</v>
      </c>
      <c r="C31" s="261" t="s">
        <v>802</v>
      </c>
      <c r="D31" s="244">
        <f>SUM(D32:D33)</f>
        <v>214184450</v>
      </c>
      <c r="E31" s="244">
        <f>SUM(E32:E33)</f>
        <v>212124950</v>
      </c>
      <c r="F31" s="299"/>
      <c r="G31" s="230"/>
    </row>
    <row r="32" spans="1:7" ht="22.5" customHeight="1" x14ac:dyDescent="0.15">
      <c r="A32" s="214"/>
      <c r="B32" s="214"/>
      <c r="C32" s="269" t="s">
        <v>801</v>
      </c>
      <c r="D32" s="224">
        <v>196184450</v>
      </c>
      <c r="E32" s="271">
        <v>192624950</v>
      </c>
      <c r="F32" s="300"/>
      <c r="G32" s="240"/>
    </row>
    <row r="33" spans="1:8" ht="22.5" customHeight="1" thickBot="1" x14ac:dyDescent="0.2">
      <c r="A33" s="214"/>
      <c r="B33" s="214"/>
      <c r="C33" s="257" t="s">
        <v>856</v>
      </c>
      <c r="D33" s="223">
        <v>18000000</v>
      </c>
      <c r="E33" s="267">
        <v>19500000</v>
      </c>
      <c r="F33" s="300"/>
      <c r="G33" s="240"/>
    </row>
    <row r="34" spans="1:8" ht="22.5" customHeight="1" x14ac:dyDescent="0.15">
      <c r="A34" s="214"/>
      <c r="B34" s="212" t="s">
        <v>724</v>
      </c>
      <c r="C34" s="256" t="s">
        <v>802</v>
      </c>
      <c r="D34" s="245">
        <f>SUM(D35:D40)</f>
        <v>69097344</v>
      </c>
      <c r="E34" s="245">
        <f>SUM(E35:E40)</f>
        <v>33563910</v>
      </c>
      <c r="F34" s="299"/>
      <c r="G34" s="230"/>
    </row>
    <row r="35" spans="1:8" ht="22.5" customHeight="1" x14ac:dyDescent="0.15">
      <c r="A35" s="214"/>
      <c r="B35" s="214"/>
      <c r="C35" s="270" t="s">
        <v>725</v>
      </c>
      <c r="D35" s="224">
        <v>22800000</v>
      </c>
      <c r="E35" s="272">
        <v>8372430</v>
      </c>
      <c r="F35" s="300"/>
      <c r="G35" s="240"/>
    </row>
    <row r="36" spans="1:8" ht="22.5" customHeight="1" x14ac:dyDescent="0.15">
      <c r="A36" s="214"/>
      <c r="B36" s="214"/>
      <c r="C36" s="270" t="s">
        <v>813</v>
      </c>
      <c r="D36" s="224">
        <v>18000000</v>
      </c>
      <c r="E36" s="273">
        <v>8838440</v>
      </c>
      <c r="F36" s="300"/>
      <c r="G36" s="240"/>
    </row>
    <row r="37" spans="1:8" ht="22.5" customHeight="1" x14ac:dyDescent="0.15">
      <c r="A37" s="214"/>
      <c r="B37" s="214"/>
      <c r="C37" s="270" t="s">
        <v>729</v>
      </c>
      <c r="D37" s="224">
        <v>5640000</v>
      </c>
      <c r="E37" s="273">
        <v>6485350</v>
      </c>
      <c r="F37" s="300"/>
      <c r="G37" s="240"/>
    </row>
    <row r="38" spans="1:8" ht="22.5" customHeight="1" x14ac:dyDescent="0.15">
      <c r="A38" s="214"/>
      <c r="B38" s="214"/>
      <c r="C38" s="257" t="s">
        <v>804</v>
      </c>
      <c r="D38" s="224">
        <v>12757344</v>
      </c>
      <c r="E38" s="272">
        <v>6767700</v>
      </c>
      <c r="F38" s="300"/>
      <c r="G38" s="240"/>
    </row>
    <row r="39" spans="1:8" ht="22.5" customHeight="1" x14ac:dyDescent="0.15">
      <c r="A39" s="214"/>
      <c r="B39" s="214"/>
      <c r="C39" s="270" t="s">
        <v>1708</v>
      </c>
      <c r="D39" s="224">
        <v>9600000</v>
      </c>
      <c r="E39" s="273">
        <v>2899990</v>
      </c>
      <c r="F39" s="300"/>
      <c r="G39" s="240"/>
    </row>
    <row r="40" spans="1:8" ht="22.5" customHeight="1" thickBot="1" x14ac:dyDescent="0.2">
      <c r="A40" s="214"/>
      <c r="B40" s="214"/>
      <c r="C40" s="257" t="s">
        <v>1336</v>
      </c>
      <c r="D40" s="224">
        <v>300000</v>
      </c>
      <c r="E40" s="272">
        <v>200000</v>
      </c>
      <c r="F40" s="300"/>
      <c r="G40" s="240"/>
    </row>
    <row r="41" spans="1:8" ht="21.6" customHeight="1" x14ac:dyDescent="0.15">
      <c r="A41" s="212" t="s">
        <v>51</v>
      </c>
      <c r="B41" s="404" t="s">
        <v>803</v>
      </c>
      <c r="C41" s="405"/>
      <c r="D41" s="215">
        <f>SUM(D42:D51)</f>
        <v>391556000</v>
      </c>
      <c r="E41" s="215">
        <f>SUM(E42:E51)</f>
        <v>395864589</v>
      </c>
      <c r="F41" s="299"/>
      <c r="G41" s="230"/>
    </row>
    <row r="42" spans="1:8" ht="21.6" customHeight="1" x14ac:dyDescent="0.15">
      <c r="A42" s="214"/>
      <c r="B42" s="426" t="s">
        <v>1709</v>
      </c>
      <c r="C42" s="427"/>
      <c r="D42" s="217">
        <v>60948000</v>
      </c>
      <c r="E42" s="231">
        <v>96784210</v>
      </c>
      <c r="F42" s="300"/>
      <c r="G42" s="240"/>
    </row>
    <row r="43" spans="1:8" ht="21.6" customHeight="1" x14ac:dyDescent="0.15">
      <c r="A43" s="214"/>
      <c r="B43" s="426" t="s">
        <v>1710</v>
      </c>
      <c r="C43" s="427"/>
      <c r="D43" s="217">
        <v>15590000</v>
      </c>
      <c r="E43" s="231">
        <v>15056300</v>
      </c>
      <c r="F43" s="300"/>
      <c r="G43" s="240"/>
    </row>
    <row r="44" spans="1:8" ht="21.6" customHeight="1" x14ac:dyDescent="0.15">
      <c r="A44" s="214"/>
      <c r="B44" s="400" t="s">
        <v>1713</v>
      </c>
      <c r="C44" s="401"/>
      <c r="D44" s="217">
        <v>40000000</v>
      </c>
      <c r="E44" s="231">
        <v>39999999</v>
      </c>
      <c r="F44" s="300"/>
      <c r="G44" s="240"/>
    </row>
    <row r="45" spans="1:8" ht="21.6" customHeight="1" x14ac:dyDescent="0.15">
      <c r="A45" s="214"/>
      <c r="B45" s="400" t="s">
        <v>1711</v>
      </c>
      <c r="C45" s="401"/>
      <c r="D45" s="217">
        <v>41500000</v>
      </c>
      <c r="E45" s="231">
        <v>36924780</v>
      </c>
      <c r="F45" s="300"/>
      <c r="G45" s="240"/>
    </row>
    <row r="46" spans="1:8" ht="21.6" customHeight="1" x14ac:dyDescent="0.15">
      <c r="A46" s="214"/>
      <c r="B46" s="426" t="s">
        <v>1712</v>
      </c>
      <c r="C46" s="427"/>
      <c r="D46" s="217">
        <v>65775000</v>
      </c>
      <c r="E46" s="231">
        <v>103574770</v>
      </c>
      <c r="F46" s="300"/>
      <c r="G46" s="240"/>
      <c r="H46" s="227"/>
    </row>
    <row r="47" spans="1:8" s="227" customFormat="1" ht="21.6" customHeight="1" x14ac:dyDescent="0.15">
      <c r="A47" s="214"/>
      <c r="B47" s="400" t="s">
        <v>1714</v>
      </c>
      <c r="C47" s="401"/>
      <c r="D47" s="217">
        <v>61096000</v>
      </c>
      <c r="E47" s="231">
        <v>17195290</v>
      </c>
      <c r="F47" s="300"/>
      <c r="G47" s="240"/>
    </row>
    <row r="48" spans="1:8" s="227" customFormat="1" ht="21.6" customHeight="1" x14ac:dyDescent="0.15">
      <c r="A48" s="214"/>
      <c r="B48" s="426" t="s">
        <v>1715</v>
      </c>
      <c r="C48" s="427"/>
      <c r="D48" s="217">
        <v>34141000</v>
      </c>
      <c r="E48" s="231">
        <v>29976070</v>
      </c>
      <c r="F48" s="300"/>
      <c r="G48" s="240"/>
    </row>
    <row r="49" spans="1:7" s="227" customFormat="1" ht="21.6" customHeight="1" x14ac:dyDescent="0.15">
      <c r="A49" s="214"/>
      <c r="B49" s="400" t="s">
        <v>1716</v>
      </c>
      <c r="C49" s="401"/>
      <c r="D49" s="217">
        <v>35226000</v>
      </c>
      <c r="E49" s="231">
        <v>30338860</v>
      </c>
      <c r="F49" s="300"/>
      <c r="G49" s="240"/>
    </row>
    <row r="50" spans="1:7" s="227" customFormat="1" ht="21.6" customHeight="1" x14ac:dyDescent="0.15">
      <c r="A50" s="214"/>
      <c r="B50" s="400" t="s">
        <v>1717</v>
      </c>
      <c r="C50" s="401"/>
      <c r="D50" s="217">
        <v>23290000</v>
      </c>
      <c r="E50" s="231">
        <v>18813910</v>
      </c>
      <c r="F50" s="300"/>
      <c r="G50" s="240"/>
    </row>
    <row r="51" spans="1:7" s="227" customFormat="1" ht="21.6" customHeight="1" thickBot="1" x14ac:dyDescent="0.2">
      <c r="A51" s="214"/>
      <c r="B51" s="418" t="s">
        <v>1718</v>
      </c>
      <c r="C51" s="419"/>
      <c r="D51" s="220">
        <v>13990000</v>
      </c>
      <c r="E51" s="266">
        <v>7200400</v>
      </c>
      <c r="F51" s="302"/>
      <c r="G51" s="480"/>
    </row>
    <row r="52" spans="1:7" s="227" customFormat="1" ht="21.6" customHeight="1" x14ac:dyDescent="0.15">
      <c r="A52" s="212" t="s">
        <v>1719</v>
      </c>
      <c r="B52" s="404" t="s">
        <v>1687</v>
      </c>
      <c r="C52" s="405"/>
      <c r="D52" s="215">
        <f>SUM(D53)</f>
        <v>55365500</v>
      </c>
      <c r="E52" s="215">
        <f>SUM(E53)</f>
        <v>44448386</v>
      </c>
      <c r="F52" s="299"/>
      <c r="G52" s="230"/>
    </row>
    <row r="53" spans="1:7" s="227" customFormat="1" ht="21.6" customHeight="1" thickBot="1" x14ac:dyDescent="0.2">
      <c r="A53" s="214"/>
      <c r="B53" s="400" t="s">
        <v>1720</v>
      </c>
      <c r="C53" s="401"/>
      <c r="D53" s="217">
        <v>55365500</v>
      </c>
      <c r="E53" s="231">
        <v>44448386</v>
      </c>
      <c r="F53" s="300"/>
      <c r="G53" s="240"/>
    </row>
    <row r="54" spans="1:7" s="227" customFormat="1" ht="21.6" customHeight="1" x14ac:dyDescent="0.15">
      <c r="A54" s="212" t="s">
        <v>1721</v>
      </c>
      <c r="B54" s="404" t="s">
        <v>803</v>
      </c>
      <c r="C54" s="405"/>
      <c r="D54" s="215">
        <f>SUM(D55:D62)</f>
        <v>47858500</v>
      </c>
      <c r="E54" s="215">
        <f>SUM(E55:E62)</f>
        <v>67941908</v>
      </c>
      <c r="F54" s="299"/>
      <c r="G54" s="230"/>
    </row>
    <row r="55" spans="1:7" s="227" customFormat="1" ht="21.6" customHeight="1" x14ac:dyDescent="0.15">
      <c r="A55" s="214"/>
      <c r="B55" s="400" t="s">
        <v>1722</v>
      </c>
      <c r="C55" s="401"/>
      <c r="D55" s="217">
        <v>23740000</v>
      </c>
      <c r="E55" s="231">
        <v>25860000</v>
      </c>
      <c r="F55" s="300"/>
      <c r="G55" s="240"/>
    </row>
    <row r="56" spans="1:7" s="227" customFormat="1" ht="21.6" customHeight="1" x14ac:dyDescent="0.15">
      <c r="A56" s="214"/>
      <c r="B56" s="400" t="s">
        <v>1723</v>
      </c>
      <c r="C56" s="401"/>
      <c r="D56" s="217">
        <v>15420000</v>
      </c>
      <c r="E56" s="231">
        <v>15278893</v>
      </c>
      <c r="F56" s="300"/>
      <c r="G56" s="240"/>
    </row>
    <row r="57" spans="1:7" s="227" customFormat="1" ht="21.6" customHeight="1" x14ac:dyDescent="0.15">
      <c r="A57" s="214"/>
      <c r="B57" s="400" t="s">
        <v>1724</v>
      </c>
      <c r="C57" s="423"/>
      <c r="D57" s="220">
        <v>4363100</v>
      </c>
      <c r="E57" s="266">
        <v>3721900</v>
      </c>
      <c r="F57" s="303"/>
      <c r="G57" s="240"/>
    </row>
    <row r="58" spans="1:7" s="227" customFormat="1" ht="21.6" customHeight="1" x14ac:dyDescent="0.15">
      <c r="A58" s="214"/>
      <c r="B58" s="400" t="s">
        <v>1725</v>
      </c>
      <c r="C58" s="423"/>
      <c r="D58" s="220">
        <v>4335400</v>
      </c>
      <c r="E58" s="266">
        <v>8050784</v>
      </c>
      <c r="F58" s="303"/>
      <c r="G58" s="240"/>
    </row>
    <row r="59" spans="1:7" s="227" customFormat="1" ht="21.6" customHeight="1" x14ac:dyDescent="0.15">
      <c r="A59" s="214"/>
      <c r="B59" s="400" t="s">
        <v>1726</v>
      </c>
      <c r="C59" s="423"/>
      <c r="D59" s="220"/>
      <c r="E59" s="266">
        <v>1426955</v>
      </c>
      <c r="F59" s="303"/>
      <c r="G59" s="240"/>
    </row>
    <row r="60" spans="1:7" s="227" customFormat="1" ht="21.6" customHeight="1" x14ac:dyDescent="0.15">
      <c r="A60" s="214"/>
      <c r="B60" s="400" t="s">
        <v>1727</v>
      </c>
      <c r="C60" s="423"/>
      <c r="D60" s="220"/>
      <c r="E60" s="266">
        <v>3915242</v>
      </c>
      <c r="F60" s="303"/>
      <c r="G60" s="240"/>
    </row>
    <row r="61" spans="1:7" s="227" customFormat="1" ht="21.6" customHeight="1" x14ac:dyDescent="0.15">
      <c r="A61" s="214"/>
      <c r="B61" s="400" t="s">
        <v>1728</v>
      </c>
      <c r="C61" s="423"/>
      <c r="D61" s="220"/>
      <c r="E61" s="266">
        <v>4364010</v>
      </c>
      <c r="F61" s="303"/>
      <c r="G61" s="240"/>
    </row>
    <row r="62" spans="1:7" ht="21.6" customHeight="1" thickBot="1" x14ac:dyDescent="0.2">
      <c r="A62" s="214"/>
      <c r="B62" s="424" t="s">
        <v>1729</v>
      </c>
      <c r="C62" s="477"/>
      <c r="D62" s="228"/>
      <c r="E62" s="274">
        <v>5324124</v>
      </c>
      <c r="F62" s="303"/>
      <c r="G62" s="240"/>
    </row>
    <row r="63" spans="1:7" ht="21.6" customHeight="1" x14ac:dyDescent="0.15">
      <c r="A63" s="212" t="s">
        <v>1730</v>
      </c>
      <c r="B63" s="404" t="s">
        <v>803</v>
      </c>
      <c r="C63" s="405"/>
      <c r="D63" s="232">
        <f>SUM(D64:D75)</f>
        <v>1253248300</v>
      </c>
      <c r="E63" s="232">
        <f>SUM(E64:E75)</f>
        <v>1334516455</v>
      </c>
      <c r="F63" s="299"/>
      <c r="G63" s="230"/>
    </row>
    <row r="64" spans="1:7" ht="21.6" customHeight="1" x14ac:dyDescent="0.15">
      <c r="A64" s="214"/>
      <c r="B64" s="400" t="s">
        <v>1731</v>
      </c>
      <c r="C64" s="401"/>
      <c r="D64" s="217">
        <v>685001000</v>
      </c>
      <c r="E64" s="231">
        <v>637270176</v>
      </c>
      <c r="F64" s="300"/>
      <c r="G64" s="240"/>
    </row>
    <row r="65" spans="1:7" ht="21.6" customHeight="1" x14ac:dyDescent="0.15">
      <c r="A65" s="214"/>
      <c r="B65" s="400" t="s">
        <v>1732</v>
      </c>
      <c r="C65" s="401"/>
      <c r="D65" s="217">
        <v>29730000</v>
      </c>
      <c r="E65" s="231">
        <v>49355624</v>
      </c>
      <c r="F65" s="300"/>
      <c r="G65" s="240"/>
    </row>
    <row r="66" spans="1:7" ht="21.6" customHeight="1" x14ac:dyDescent="0.15">
      <c r="A66" s="214"/>
      <c r="B66" s="400" t="s">
        <v>1733</v>
      </c>
      <c r="C66" s="401"/>
      <c r="D66" s="217"/>
      <c r="E66" s="231">
        <v>53696313</v>
      </c>
      <c r="F66" s="300"/>
      <c r="G66" s="240"/>
    </row>
    <row r="67" spans="1:7" ht="21.6" customHeight="1" x14ac:dyDescent="0.15">
      <c r="A67" s="214"/>
      <c r="B67" s="400" t="s">
        <v>1734</v>
      </c>
      <c r="C67" s="423"/>
      <c r="D67" s="217">
        <v>207019000</v>
      </c>
      <c r="E67" s="231">
        <v>189793057</v>
      </c>
      <c r="F67" s="300"/>
      <c r="G67" s="240"/>
    </row>
    <row r="68" spans="1:7" ht="21.6" customHeight="1" x14ac:dyDescent="0.15">
      <c r="A68" s="214"/>
      <c r="B68" s="400" t="s">
        <v>1735</v>
      </c>
      <c r="C68" s="423"/>
      <c r="D68" s="217">
        <v>31135000</v>
      </c>
      <c r="E68" s="231">
        <v>31046723</v>
      </c>
      <c r="F68" s="300"/>
      <c r="G68" s="240"/>
    </row>
    <row r="69" spans="1:7" ht="21.6" customHeight="1" x14ac:dyDescent="0.15">
      <c r="A69" s="214"/>
      <c r="B69" s="400" t="s">
        <v>981</v>
      </c>
      <c r="C69" s="423"/>
      <c r="D69" s="217"/>
      <c r="E69" s="231">
        <v>27423684</v>
      </c>
      <c r="F69" s="300"/>
      <c r="G69" s="240"/>
    </row>
    <row r="70" spans="1:7" ht="21" customHeight="1" x14ac:dyDescent="0.15">
      <c r="A70" s="214"/>
      <c r="B70" s="426" t="s">
        <v>1736</v>
      </c>
      <c r="C70" s="427"/>
      <c r="D70" s="217">
        <v>70864000</v>
      </c>
      <c r="E70" s="231">
        <v>70864000</v>
      </c>
      <c r="F70" s="300"/>
      <c r="G70" s="240"/>
    </row>
    <row r="71" spans="1:7" ht="21.6" customHeight="1" x14ac:dyDescent="0.15">
      <c r="A71" s="214"/>
      <c r="B71" s="426" t="s">
        <v>1737</v>
      </c>
      <c r="C71" s="427"/>
      <c r="D71" s="217">
        <v>68716000</v>
      </c>
      <c r="E71" s="231">
        <v>79746000</v>
      </c>
      <c r="F71" s="300"/>
      <c r="G71" s="240"/>
    </row>
    <row r="72" spans="1:7" ht="21.6" customHeight="1" x14ac:dyDescent="0.15">
      <c r="A72" s="214"/>
      <c r="B72" s="426" t="s">
        <v>1738</v>
      </c>
      <c r="C72" s="427"/>
      <c r="D72" s="217">
        <v>31117000</v>
      </c>
      <c r="E72" s="231">
        <v>30937896</v>
      </c>
      <c r="F72" s="300"/>
      <c r="G72" s="240"/>
    </row>
    <row r="73" spans="1:7" ht="21.6" customHeight="1" x14ac:dyDescent="0.15">
      <c r="A73" s="214"/>
      <c r="B73" s="400" t="s">
        <v>1739</v>
      </c>
      <c r="C73" s="401"/>
      <c r="D73" s="217">
        <v>83353000</v>
      </c>
      <c r="E73" s="231">
        <v>82883000</v>
      </c>
      <c r="F73" s="300"/>
      <c r="G73" s="240"/>
    </row>
    <row r="74" spans="1:7" ht="21.6" customHeight="1" x14ac:dyDescent="0.15">
      <c r="A74" s="214"/>
      <c r="B74" s="400" t="s">
        <v>1740</v>
      </c>
      <c r="C74" s="423"/>
      <c r="D74" s="220">
        <v>46313300</v>
      </c>
      <c r="E74" s="266">
        <v>50431782</v>
      </c>
      <c r="F74" s="303"/>
      <c r="G74" s="240"/>
    </row>
    <row r="75" spans="1:7" ht="21.6" customHeight="1" thickBot="1" x14ac:dyDescent="0.2">
      <c r="A75" s="214"/>
      <c r="B75" s="418" t="s">
        <v>1741</v>
      </c>
      <c r="C75" s="419"/>
      <c r="D75" s="220"/>
      <c r="E75" s="266">
        <v>31068200</v>
      </c>
      <c r="F75" s="303"/>
      <c r="G75" s="240"/>
    </row>
    <row r="76" spans="1:7" ht="21.6" customHeight="1" x14ac:dyDescent="0.15">
      <c r="A76" s="212" t="s">
        <v>1631</v>
      </c>
      <c r="B76" s="404" t="s">
        <v>803</v>
      </c>
      <c r="C76" s="405"/>
      <c r="D76" s="243">
        <f>SUM(D77:D79)</f>
        <v>20508000</v>
      </c>
      <c r="E76" s="243">
        <f>SUM(E77:E79)</f>
        <v>5531400</v>
      </c>
      <c r="F76" s="299"/>
      <c r="G76" s="230"/>
    </row>
    <row r="77" spans="1:7" ht="21.6" customHeight="1" x14ac:dyDescent="0.15">
      <c r="A77" s="214"/>
      <c r="B77" s="400" t="s">
        <v>1742</v>
      </c>
      <c r="C77" s="423"/>
      <c r="D77" s="293">
        <v>8272000</v>
      </c>
      <c r="E77" s="275">
        <v>2421000</v>
      </c>
      <c r="F77" s="300"/>
      <c r="G77" s="218"/>
    </row>
    <row r="78" spans="1:7" ht="21.6" customHeight="1" x14ac:dyDescent="0.15">
      <c r="A78" s="214"/>
      <c r="B78" s="400" t="s">
        <v>1743</v>
      </c>
      <c r="C78" s="401"/>
      <c r="D78" s="217">
        <v>3536000</v>
      </c>
      <c r="E78" s="231">
        <v>3110400</v>
      </c>
      <c r="F78" s="300"/>
      <c r="G78" s="218"/>
    </row>
    <row r="79" spans="1:7" ht="21.6" customHeight="1" thickBot="1" x14ac:dyDescent="0.2">
      <c r="A79" s="226"/>
      <c r="B79" s="424" t="s">
        <v>1744</v>
      </c>
      <c r="C79" s="425"/>
      <c r="D79" s="228">
        <v>8700000</v>
      </c>
      <c r="E79" s="274"/>
      <c r="F79" s="304"/>
      <c r="G79" s="222"/>
    </row>
    <row r="80" spans="1:7" ht="22.5" customHeight="1" x14ac:dyDescent="0.15">
      <c r="A80" s="212" t="s">
        <v>1745</v>
      </c>
      <c r="B80" s="400" t="s">
        <v>1687</v>
      </c>
      <c r="C80" s="401"/>
      <c r="D80" s="217">
        <f>SUM(D81:D82)</f>
        <v>5845000</v>
      </c>
      <c r="E80" s="217">
        <f>SUM(E81:E82)</f>
        <v>4285940</v>
      </c>
      <c r="F80" s="303"/>
      <c r="G80" s="292"/>
    </row>
    <row r="81" spans="1:7" ht="22.5" customHeight="1" x14ac:dyDescent="0.15">
      <c r="A81" s="214"/>
      <c r="B81" s="400" t="s">
        <v>1746</v>
      </c>
      <c r="C81" s="401"/>
      <c r="D81" s="217">
        <v>5845000</v>
      </c>
      <c r="E81" s="229">
        <v>3985940</v>
      </c>
      <c r="F81" s="303"/>
      <c r="G81" s="292"/>
    </row>
    <row r="82" spans="1:7" ht="22.5" customHeight="1" thickBot="1" x14ac:dyDescent="0.2">
      <c r="A82" s="226" t="s">
        <v>136</v>
      </c>
      <c r="B82" s="424" t="s">
        <v>1747</v>
      </c>
      <c r="C82" s="425"/>
      <c r="D82" s="228"/>
      <c r="E82" s="274">
        <v>300000</v>
      </c>
      <c r="F82" s="307"/>
      <c r="G82" s="481"/>
    </row>
    <row r="83" spans="1:7" ht="22.5" customHeight="1" x14ac:dyDescent="0.15">
      <c r="A83" s="214" t="s">
        <v>1748</v>
      </c>
      <c r="B83" s="420" t="s">
        <v>1687</v>
      </c>
      <c r="C83" s="421"/>
      <c r="D83" s="232">
        <f>SUM(D84)</f>
        <v>58500000</v>
      </c>
      <c r="E83" s="232">
        <f>SUM(E84)</f>
        <v>58500000</v>
      </c>
      <c r="F83" s="303"/>
      <c r="G83" s="218"/>
    </row>
    <row r="84" spans="1:7" ht="22.5" customHeight="1" thickBot="1" x14ac:dyDescent="0.2">
      <c r="A84" s="226"/>
      <c r="B84" s="424" t="s">
        <v>1749</v>
      </c>
      <c r="C84" s="425"/>
      <c r="D84" s="228">
        <v>58500000</v>
      </c>
      <c r="E84" s="274">
        <v>58500000</v>
      </c>
      <c r="F84" s="307"/>
      <c r="G84" s="222"/>
    </row>
    <row r="85" spans="1:7" ht="22.5" customHeight="1" thickBot="1" x14ac:dyDescent="0.2">
      <c r="A85" s="213" t="s">
        <v>1750</v>
      </c>
      <c r="B85" s="402" t="s">
        <v>1751</v>
      </c>
      <c r="C85" s="403"/>
      <c r="D85" s="233">
        <v>49939789</v>
      </c>
      <c r="E85" s="264">
        <v>134147712</v>
      </c>
      <c r="F85" s="301"/>
      <c r="G85" s="234"/>
    </row>
    <row r="86" spans="1:7" ht="22.5" customHeight="1" thickBot="1" x14ac:dyDescent="0.2">
      <c r="A86" s="213"/>
      <c r="B86" s="402" t="s">
        <v>1752</v>
      </c>
      <c r="C86" s="403"/>
      <c r="D86" s="233"/>
      <c r="E86" s="264">
        <v>8354520</v>
      </c>
      <c r="F86" s="301"/>
      <c r="G86" s="308"/>
    </row>
    <row r="87" spans="1:7" ht="22.5" customHeight="1" thickBot="1" x14ac:dyDescent="0.2">
      <c r="A87" s="213"/>
      <c r="B87" s="402" t="s">
        <v>1753</v>
      </c>
      <c r="C87" s="403"/>
      <c r="D87" s="233"/>
      <c r="E87" s="264">
        <v>22000000</v>
      </c>
      <c r="F87" s="301"/>
      <c r="G87" s="234"/>
    </row>
    <row r="88" spans="1:7" ht="22.5" customHeight="1" thickBot="1" x14ac:dyDescent="0.2">
      <c r="A88" s="213" t="s">
        <v>136</v>
      </c>
      <c r="B88" s="402" t="s">
        <v>812</v>
      </c>
      <c r="C88" s="403"/>
      <c r="D88" s="233"/>
      <c r="E88" s="264">
        <v>35565392</v>
      </c>
      <c r="F88" s="301"/>
      <c r="G88" s="308"/>
    </row>
    <row r="89" spans="1:7" ht="22.5" customHeight="1" thickBot="1" x14ac:dyDescent="0.2">
      <c r="A89" s="402" t="s">
        <v>188</v>
      </c>
      <c r="B89" s="403"/>
      <c r="C89" s="403"/>
      <c r="D89" s="233">
        <f>D7+D41+D52+D54+D63+D76+D80+D83+D85+D86+D87+D88</f>
        <v>2237642883</v>
      </c>
      <c r="E89" s="233">
        <f>E7+E41+E52+E54+E63+E76+E80+E83+E85+E86+E87+E88</f>
        <v>2419523688</v>
      </c>
      <c r="F89" s="307">
        <f t="shared" ref="F89" si="0">SUM(E89-D89)</f>
        <v>181880805</v>
      </c>
      <c r="G89" s="234"/>
    </row>
    <row r="90" spans="1:7" ht="6" customHeight="1" x14ac:dyDescent="0.15"/>
    <row r="91" spans="1:7" ht="20.100000000000001" customHeight="1" x14ac:dyDescent="0.15"/>
  </sheetData>
  <mergeCells count="57">
    <mergeCell ref="B61:C61"/>
    <mergeCell ref="B66:C66"/>
    <mergeCell ref="B67:C67"/>
    <mergeCell ref="B68:C68"/>
    <mergeCell ref="B69:C69"/>
    <mergeCell ref="B41:C41"/>
    <mergeCell ref="B42:C42"/>
    <mergeCell ref="B43:C43"/>
    <mergeCell ref="A2:G2"/>
    <mergeCell ref="A3:G3"/>
    <mergeCell ref="A5:C5"/>
    <mergeCell ref="D5:D6"/>
    <mergeCell ref="E5:E6"/>
    <mergeCell ref="F5:F6"/>
    <mergeCell ref="G5:G6"/>
    <mergeCell ref="B7:C7"/>
    <mergeCell ref="B49:C49"/>
    <mergeCell ref="B44:C44"/>
    <mergeCell ref="B45:C45"/>
    <mergeCell ref="B46:C46"/>
    <mergeCell ref="B50:C50"/>
    <mergeCell ref="B47:C47"/>
    <mergeCell ref="B48:C48"/>
    <mergeCell ref="B70:C70"/>
    <mergeCell ref="B51:C51"/>
    <mergeCell ref="B53:C53"/>
    <mergeCell ref="B54:C54"/>
    <mergeCell ref="B55:C55"/>
    <mergeCell ref="B52:C52"/>
    <mergeCell ref="B56:C56"/>
    <mergeCell ref="B62:C62"/>
    <mergeCell ref="B63:C63"/>
    <mergeCell ref="B64:C64"/>
    <mergeCell ref="B65:C65"/>
    <mergeCell ref="B57:C57"/>
    <mergeCell ref="B59:C59"/>
    <mergeCell ref="B58:C58"/>
    <mergeCell ref="B60:C60"/>
    <mergeCell ref="B71:C71"/>
    <mergeCell ref="B72:C72"/>
    <mergeCell ref="B73:C73"/>
    <mergeCell ref="B75:C75"/>
    <mergeCell ref="B76:C76"/>
    <mergeCell ref="B74:C74"/>
    <mergeCell ref="B77:C77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A89:C89"/>
  </mergeCells>
  <phoneticPr fontId="2" type="noConversion"/>
  <pageMargins left="0.7" right="0.31" top="0.75" bottom="0.41" header="0.3" footer="0.3"/>
  <pageSetup paperSize="9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724"/>
  <sheetViews>
    <sheetView showGridLines="0" zoomScale="85" zoomScaleNormal="85" workbookViewId="0">
      <pane ySplit="4" topLeftCell="A65" activePane="bottomLeft" state="frozen"/>
      <selection activeCell="H2" sqref="H2"/>
      <selection pane="bottomLeft" activeCell="A50" sqref="A50:IV80"/>
    </sheetView>
  </sheetViews>
  <sheetFormatPr defaultRowHeight="16.5" customHeight="1" x14ac:dyDescent="0.15"/>
  <cols>
    <col min="1" max="2" width="7.109375" style="3" customWidth="1"/>
    <col min="3" max="3" width="8.88671875" style="3"/>
    <col min="4" max="6" width="13.33203125" style="68" customWidth="1"/>
    <col min="7" max="7" width="13.33203125" style="71" customWidth="1"/>
    <col min="8" max="8" width="17.33203125" style="4" customWidth="1"/>
    <col min="9" max="9" width="20.21875" style="5" customWidth="1"/>
    <col min="10" max="10" width="12.88671875" style="67" customWidth="1"/>
    <col min="11" max="11" width="11.88671875" style="71" customWidth="1"/>
    <col min="12" max="12" width="11.33203125" style="1" bestFit="1" customWidth="1"/>
    <col min="13" max="13" width="12.6640625" style="2" bestFit="1" customWidth="1"/>
    <col min="14" max="16384" width="8.88671875" style="2"/>
  </cols>
  <sheetData>
    <row r="1" spans="1:13" ht="23.25" customHeight="1" x14ac:dyDescent="0.15">
      <c r="A1" s="431" t="s">
        <v>0</v>
      </c>
      <c r="B1" s="431"/>
      <c r="C1" s="431"/>
      <c r="D1" s="431"/>
      <c r="E1" s="431"/>
      <c r="F1" s="431"/>
      <c r="G1" s="431"/>
      <c r="H1" s="431"/>
      <c r="I1" s="431"/>
      <c r="J1" s="431"/>
      <c r="K1" s="431"/>
    </row>
    <row r="2" spans="1:13" ht="16.5" customHeight="1" x14ac:dyDescent="0.15">
      <c r="K2" s="55" t="s">
        <v>267</v>
      </c>
    </row>
    <row r="3" spans="1:13" ht="18" customHeight="1" x14ac:dyDescent="0.15">
      <c r="A3" s="438" t="s">
        <v>1</v>
      </c>
      <c r="B3" s="439"/>
      <c r="C3" s="440"/>
      <c r="D3" s="447" t="s">
        <v>230</v>
      </c>
      <c r="E3" s="447" t="s">
        <v>757</v>
      </c>
      <c r="F3" s="447" t="s">
        <v>268</v>
      </c>
      <c r="G3" s="432" t="s">
        <v>2</v>
      </c>
      <c r="H3" s="441" t="s">
        <v>3</v>
      </c>
      <c r="I3" s="442"/>
      <c r="J3" s="443"/>
      <c r="K3" s="432" t="s">
        <v>758</v>
      </c>
    </row>
    <row r="4" spans="1:13" ht="18" customHeight="1" x14ac:dyDescent="0.15">
      <c r="A4" s="6" t="s">
        <v>4</v>
      </c>
      <c r="B4" s="6" t="s">
        <v>5</v>
      </c>
      <c r="C4" s="6" t="s">
        <v>6</v>
      </c>
      <c r="D4" s="448"/>
      <c r="E4" s="448"/>
      <c r="F4" s="448"/>
      <c r="G4" s="433"/>
      <c r="H4" s="444"/>
      <c r="I4" s="445"/>
      <c r="J4" s="446"/>
      <c r="K4" s="433"/>
    </row>
    <row r="5" spans="1:13" ht="18" customHeight="1" x14ac:dyDescent="0.15">
      <c r="A5" s="7" t="s">
        <v>7</v>
      </c>
      <c r="B5" s="6"/>
      <c r="C5" s="6"/>
      <c r="D5" s="88">
        <v>334938000</v>
      </c>
      <c r="E5" s="88">
        <f>E6+E72+E50</f>
        <v>557906895</v>
      </c>
      <c r="F5" s="88">
        <f>F6+F72+F50</f>
        <v>341965184</v>
      </c>
      <c r="G5" s="72">
        <f>F5-D5</f>
        <v>7027184</v>
      </c>
      <c r="H5" s="8"/>
      <c r="I5" s="9"/>
      <c r="J5" s="56"/>
      <c r="K5" s="72"/>
    </row>
    <row r="6" spans="1:13" ht="18" customHeight="1" x14ac:dyDescent="0.15">
      <c r="A6" s="7"/>
      <c r="B6" s="7" t="s">
        <v>8</v>
      </c>
      <c r="C6" s="6"/>
      <c r="D6" s="88">
        <v>141838000</v>
      </c>
      <c r="E6" s="88">
        <f>SUM(E7:E49)</f>
        <v>335852565</v>
      </c>
      <c r="F6" s="88">
        <f>SUM(F7:F49)</f>
        <v>167488000</v>
      </c>
      <c r="G6" s="88">
        <f>SUM(G7:G49)</f>
        <v>25650000</v>
      </c>
      <c r="H6" s="94"/>
      <c r="I6" s="9"/>
      <c r="J6" s="56"/>
      <c r="K6" s="88"/>
      <c r="M6" s="52"/>
    </row>
    <row r="7" spans="1:13" ht="18" customHeight="1" x14ac:dyDescent="0.15">
      <c r="A7" s="7"/>
      <c r="B7" s="7"/>
      <c r="C7" s="7" t="s">
        <v>9</v>
      </c>
      <c r="D7" s="26">
        <v>4920000</v>
      </c>
      <c r="E7" s="26">
        <v>3845760</v>
      </c>
      <c r="F7" s="26">
        <f>SUM(J7:J11)</f>
        <v>7344000</v>
      </c>
      <c r="G7" s="75">
        <f>F7-D7</f>
        <v>2424000</v>
      </c>
      <c r="H7" s="10" t="s">
        <v>10</v>
      </c>
      <c r="I7" s="11" t="s">
        <v>335</v>
      </c>
      <c r="J7" s="57">
        <f>150000*12</f>
        <v>1800000</v>
      </c>
      <c r="K7" s="75"/>
      <c r="M7" s="52"/>
    </row>
    <row r="8" spans="1:13" ht="18" customHeight="1" x14ac:dyDescent="0.15">
      <c r="A8" s="7"/>
      <c r="B8" s="7"/>
      <c r="C8" s="7"/>
      <c r="D8" s="26"/>
      <c r="E8" s="26"/>
      <c r="F8" s="26"/>
      <c r="G8" s="75"/>
      <c r="H8" s="10" t="s">
        <v>11</v>
      </c>
      <c r="I8" s="11" t="s">
        <v>335</v>
      </c>
      <c r="J8" s="57">
        <f>150000*12</f>
        <v>1800000</v>
      </c>
      <c r="K8" s="75"/>
      <c r="M8" s="52"/>
    </row>
    <row r="9" spans="1:13" ht="18" customHeight="1" x14ac:dyDescent="0.15">
      <c r="A9" s="7"/>
      <c r="B9" s="7"/>
      <c r="C9" s="7"/>
      <c r="D9" s="26"/>
      <c r="E9" s="26"/>
      <c r="F9" s="26"/>
      <c r="G9" s="75"/>
      <c r="H9" s="10" t="s">
        <v>12</v>
      </c>
      <c r="I9" s="11" t="s">
        <v>335</v>
      </c>
      <c r="J9" s="57">
        <f>150000*12</f>
        <v>1800000</v>
      </c>
      <c r="K9" s="75"/>
      <c r="M9" s="52"/>
    </row>
    <row r="10" spans="1:13" ht="18" customHeight="1" x14ac:dyDescent="0.15">
      <c r="A10" s="7"/>
      <c r="B10" s="7"/>
      <c r="C10" s="7"/>
      <c r="D10" s="26"/>
      <c r="E10" s="26"/>
      <c r="F10" s="26"/>
      <c r="G10" s="75"/>
      <c r="H10" s="10" t="s">
        <v>421</v>
      </c>
      <c r="I10" s="11" t="s">
        <v>420</v>
      </c>
      <c r="J10" s="57">
        <f>200000*4*2</f>
        <v>1600000</v>
      </c>
      <c r="K10" s="75"/>
      <c r="M10" s="52"/>
    </row>
    <row r="11" spans="1:13" ht="18" customHeight="1" x14ac:dyDescent="0.15">
      <c r="A11" s="7"/>
      <c r="B11" s="7"/>
      <c r="C11" s="6"/>
      <c r="D11" s="53"/>
      <c r="E11" s="53"/>
      <c r="F11" s="53"/>
      <c r="G11" s="72"/>
      <c r="H11" s="8" t="s">
        <v>423</v>
      </c>
      <c r="I11" s="9" t="s">
        <v>422</v>
      </c>
      <c r="J11" s="56">
        <f>86000*4</f>
        <v>344000</v>
      </c>
      <c r="K11" s="72"/>
      <c r="M11" s="52"/>
    </row>
    <row r="12" spans="1:13" ht="18" customHeight="1" x14ac:dyDescent="0.15">
      <c r="A12" s="7"/>
      <c r="B12" s="7"/>
      <c r="C12" s="7" t="s">
        <v>13</v>
      </c>
      <c r="D12" s="26">
        <v>10500000</v>
      </c>
      <c r="E12" s="26">
        <v>11244851</v>
      </c>
      <c r="F12" s="26">
        <f>SUM(J12:J13)</f>
        <v>13200000</v>
      </c>
      <c r="G12" s="75">
        <f>F12-D12</f>
        <v>2700000</v>
      </c>
      <c r="H12" s="10" t="s">
        <v>14</v>
      </c>
      <c r="I12" s="11" t="s">
        <v>398</v>
      </c>
      <c r="J12" s="57">
        <f>650000*12</f>
        <v>7800000</v>
      </c>
      <c r="K12" s="75"/>
      <c r="M12" s="52"/>
    </row>
    <row r="13" spans="1:13" ht="18" customHeight="1" x14ac:dyDescent="0.15">
      <c r="A13" s="7"/>
      <c r="B13" s="7"/>
      <c r="C13" s="6"/>
      <c r="D13" s="53"/>
      <c r="E13" s="53"/>
      <c r="F13" s="53"/>
      <c r="G13" s="72"/>
      <c r="H13" s="8" t="s">
        <v>15</v>
      </c>
      <c r="I13" s="9" t="s">
        <v>399</v>
      </c>
      <c r="J13" s="56">
        <f>450000*12</f>
        <v>5400000</v>
      </c>
      <c r="K13" s="72"/>
      <c r="M13" s="52"/>
    </row>
    <row r="14" spans="1:13" ht="18" customHeight="1" x14ac:dyDescent="0.15">
      <c r="A14" s="7"/>
      <c r="B14" s="7"/>
      <c r="C14" s="7" t="s">
        <v>16</v>
      </c>
      <c r="D14" s="26">
        <v>1300000</v>
      </c>
      <c r="E14" s="26">
        <v>2741360</v>
      </c>
      <c r="F14" s="26">
        <f>SUM(J14:J17)</f>
        <v>5232000</v>
      </c>
      <c r="G14" s="75">
        <f>F14-D14</f>
        <v>3932000</v>
      </c>
      <c r="H14" s="10" t="s">
        <v>17</v>
      </c>
      <c r="I14" s="11"/>
      <c r="J14" s="57">
        <v>1000000</v>
      </c>
      <c r="K14" s="75"/>
      <c r="M14" s="52"/>
    </row>
    <row r="15" spans="1:13" ht="18" customHeight="1" x14ac:dyDescent="0.15">
      <c r="A15" s="7"/>
      <c r="B15" s="7"/>
      <c r="C15" s="7"/>
      <c r="D15" s="26"/>
      <c r="E15" s="26"/>
      <c r="F15" s="26"/>
      <c r="G15" s="75"/>
      <c r="H15" s="10" t="s">
        <v>424</v>
      </c>
      <c r="I15" s="11"/>
      <c r="J15" s="57">
        <f>560000+680000</f>
        <v>1240000</v>
      </c>
      <c r="K15" s="75"/>
      <c r="M15" s="52"/>
    </row>
    <row r="16" spans="1:13" ht="18" customHeight="1" x14ac:dyDescent="0.15">
      <c r="A16" s="7"/>
      <c r="B16" s="7"/>
      <c r="C16" s="7"/>
      <c r="D16" s="26"/>
      <c r="E16" s="26"/>
      <c r="F16" s="26"/>
      <c r="G16" s="75"/>
      <c r="H16" s="10" t="s">
        <v>443</v>
      </c>
      <c r="I16" s="11"/>
      <c r="J16" s="57">
        <f>992000+1000000</f>
        <v>1992000</v>
      </c>
      <c r="K16" s="75"/>
      <c r="M16" s="52"/>
    </row>
    <row r="17" spans="1:13" ht="18" customHeight="1" x14ac:dyDescent="0.15">
      <c r="A17" s="7"/>
      <c r="B17" s="7"/>
      <c r="C17" s="6"/>
      <c r="D17" s="53"/>
      <c r="E17" s="53"/>
      <c r="F17" s="53"/>
      <c r="G17" s="72"/>
      <c r="H17" s="8" t="s">
        <v>18</v>
      </c>
      <c r="I17" s="9"/>
      <c r="J17" s="56">
        <v>1000000</v>
      </c>
      <c r="K17" s="72"/>
      <c r="M17" s="52"/>
    </row>
    <row r="18" spans="1:13" ht="18" customHeight="1" x14ac:dyDescent="0.15">
      <c r="A18" s="7"/>
      <c r="B18" s="7"/>
      <c r="C18" s="7" t="s">
        <v>19</v>
      </c>
      <c r="D18" s="26">
        <v>2850000</v>
      </c>
      <c r="E18" s="26">
        <v>40673423</v>
      </c>
      <c r="F18" s="26">
        <f>SUM(J18:J25)</f>
        <v>8890000</v>
      </c>
      <c r="G18" s="75">
        <f>F18-D18</f>
        <v>6040000</v>
      </c>
      <c r="H18" s="10" t="s">
        <v>20</v>
      </c>
      <c r="I18" s="11" t="s">
        <v>346</v>
      </c>
      <c r="J18" s="57">
        <f>80000*12</f>
        <v>960000</v>
      </c>
      <c r="K18" s="75"/>
      <c r="M18" s="52"/>
    </row>
    <row r="19" spans="1:13" ht="18" customHeight="1" x14ac:dyDescent="0.15">
      <c r="A19" s="7"/>
      <c r="B19" s="7"/>
      <c r="C19" s="7" t="s">
        <v>21</v>
      </c>
      <c r="D19" s="26"/>
      <c r="E19" s="26"/>
      <c r="F19" s="26"/>
      <c r="G19" s="75"/>
      <c r="H19" s="10" t="s">
        <v>22</v>
      </c>
      <c r="I19" s="11" t="s">
        <v>388</v>
      </c>
      <c r="J19" s="57">
        <f>3000*1350</f>
        <v>4050000</v>
      </c>
      <c r="K19" s="75"/>
      <c r="M19" s="52"/>
    </row>
    <row r="20" spans="1:13" ht="18" customHeight="1" x14ac:dyDescent="0.15">
      <c r="A20" s="7"/>
      <c r="B20" s="7"/>
      <c r="C20" s="7"/>
      <c r="D20" s="26"/>
      <c r="E20" s="26"/>
      <c r="F20" s="26"/>
      <c r="G20" s="75"/>
      <c r="H20" s="10" t="s">
        <v>23</v>
      </c>
      <c r="I20" s="11"/>
      <c r="J20" s="57">
        <f>60000*12+200000</f>
        <v>920000</v>
      </c>
      <c r="K20" s="75"/>
      <c r="M20" s="52"/>
    </row>
    <row r="21" spans="1:13" ht="18" customHeight="1" x14ac:dyDescent="0.15">
      <c r="A21" s="7"/>
      <c r="B21" s="7"/>
      <c r="C21" s="7"/>
      <c r="D21" s="26"/>
      <c r="E21" s="26"/>
      <c r="F21" s="26"/>
      <c r="G21" s="75"/>
      <c r="H21" s="10" t="s">
        <v>24</v>
      </c>
      <c r="I21" s="11" t="s">
        <v>387</v>
      </c>
      <c r="J21" s="57">
        <f>100000*1</f>
        <v>100000</v>
      </c>
      <c r="K21" s="75"/>
      <c r="M21" s="52"/>
    </row>
    <row r="22" spans="1:13" ht="18" customHeight="1" x14ac:dyDescent="0.15">
      <c r="A22" s="7"/>
      <c r="B22" s="7"/>
      <c r="C22" s="7"/>
      <c r="D22" s="26"/>
      <c r="E22" s="26"/>
      <c r="F22" s="26"/>
      <c r="G22" s="75"/>
      <c r="H22" s="10" t="s">
        <v>25</v>
      </c>
      <c r="I22" s="11" t="s">
        <v>386</v>
      </c>
      <c r="J22" s="57">
        <f>200000*2</f>
        <v>400000</v>
      </c>
      <c r="K22" s="75"/>
      <c r="M22" s="52"/>
    </row>
    <row r="23" spans="1:13" ht="18" customHeight="1" x14ac:dyDescent="0.15">
      <c r="A23" s="7"/>
      <c r="B23" s="7"/>
      <c r="C23" s="7"/>
      <c r="D23" s="26"/>
      <c r="E23" s="26"/>
      <c r="F23" s="26"/>
      <c r="G23" s="75"/>
      <c r="H23" s="10" t="s">
        <v>26</v>
      </c>
      <c r="I23" s="11" t="s">
        <v>427</v>
      </c>
      <c r="J23" s="57">
        <f>50000*12</f>
        <v>600000</v>
      </c>
      <c r="K23" s="75"/>
      <c r="M23" s="52"/>
    </row>
    <row r="24" spans="1:13" ht="18" customHeight="1" x14ac:dyDescent="0.15">
      <c r="A24" s="7"/>
      <c r="B24" s="7"/>
      <c r="C24" s="7"/>
      <c r="D24" s="26"/>
      <c r="E24" s="26"/>
      <c r="F24" s="26"/>
      <c r="G24" s="75"/>
      <c r="H24" s="10" t="s">
        <v>441</v>
      </c>
      <c r="I24" s="11" t="s">
        <v>442</v>
      </c>
      <c r="J24" s="57">
        <f>55000*12</f>
        <v>660000</v>
      </c>
      <c r="K24" s="75"/>
      <c r="M24" s="52"/>
    </row>
    <row r="25" spans="1:13" ht="18" customHeight="1" x14ac:dyDescent="0.15">
      <c r="A25" s="7"/>
      <c r="B25" s="7"/>
      <c r="C25" s="6"/>
      <c r="D25" s="53"/>
      <c r="E25" s="53"/>
      <c r="F25" s="53"/>
      <c r="G25" s="72"/>
      <c r="H25" s="8" t="s">
        <v>27</v>
      </c>
      <c r="I25" s="9" t="s">
        <v>440</v>
      </c>
      <c r="J25" s="56">
        <f>100000*12</f>
        <v>1200000</v>
      </c>
      <c r="K25" s="72"/>
      <c r="M25" s="52"/>
    </row>
    <row r="26" spans="1:13" ht="18" customHeight="1" x14ac:dyDescent="0.15">
      <c r="A26" s="7"/>
      <c r="B26" s="7"/>
      <c r="C26" s="7" t="s">
        <v>28</v>
      </c>
      <c r="D26" s="26">
        <v>1668000</v>
      </c>
      <c r="E26" s="26">
        <v>2936000</v>
      </c>
      <c r="F26" s="26">
        <f>SUM(J26:J27)</f>
        <v>2800000</v>
      </c>
      <c r="G26" s="75">
        <f>F26-D26</f>
        <v>1132000</v>
      </c>
      <c r="H26" s="10" t="s">
        <v>29</v>
      </c>
      <c r="I26" s="11" t="s">
        <v>335</v>
      </c>
      <c r="J26" s="57">
        <f>150000*12</f>
        <v>1800000</v>
      </c>
      <c r="K26" s="75"/>
      <c r="M26" s="52"/>
    </row>
    <row r="27" spans="1:13" ht="18" customHeight="1" x14ac:dyDescent="0.15">
      <c r="A27" s="7"/>
      <c r="B27" s="7"/>
      <c r="C27" s="6"/>
      <c r="D27" s="53"/>
      <c r="E27" s="53"/>
      <c r="F27" s="53"/>
      <c r="G27" s="72"/>
      <c r="H27" s="8" t="s">
        <v>30</v>
      </c>
      <c r="I27" s="9"/>
      <c r="J27" s="56">
        <v>1000000</v>
      </c>
      <c r="K27" s="72"/>
      <c r="M27" s="52"/>
    </row>
    <row r="28" spans="1:13" ht="18" customHeight="1" x14ac:dyDescent="0.15">
      <c r="A28" s="7"/>
      <c r="B28" s="7"/>
      <c r="C28" s="6" t="s">
        <v>31</v>
      </c>
      <c r="D28" s="51">
        <v>3000000</v>
      </c>
      <c r="E28" s="51">
        <v>3453849</v>
      </c>
      <c r="F28" s="51">
        <f>SUM(J28:J28)</f>
        <v>3000000</v>
      </c>
      <c r="G28" s="51">
        <f>F28-D28</f>
        <v>0</v>
      </c>
      <c r="H28" s="13" t="s">
        <v>446</v>
      </c>
      <c r="I28" s="14" t="s">
        <v>231</v>
      </c>
      <c r="J28" s="58">
        <f>300000*10</f>
        <v>3000000</v>
      </c>
      <c r="K28" s="51"/>
      <c r="M28" s="52"/>
    </row>
    <row r="29" spans="1:13" ht="18" customHeight="1" x14ac:dyDescent="0.15">
      <c r="A29" s="7"/>
      <c r="B29" s="7"/>
      <c r="C29" s="7" t="s">
        <v>32</v>
      </c>
      <c r="D29" s="26">
        <v>5000000</v>
      </c>
      <c r="E29" s="26">
        <v>7020000</v>
      </c>
      <c r="F29" s="26">
        <f>SUM(J29:J30)</f>
        <v>13000000</v>
      </c>
      <c r="G29" s="75">
        <f>F29-D29</f>
        <v>8000000</v>
      </c>
      <c r="H29" s="10" t="s">
        <v>33</v>
      </c>
      <c r="I29" s="11"/>
      <c r="J29" s="57">
        <v>1000000</v>
      </c>
      <c r="K29" s="75"/>
      <c r="M29" s="52"/>
    </row>
    <row r="30" spans="1:13" ht="18" customHeight="1" x14ac:dyDescent="0.15">
      <c r="A30" s="6"/>
      <c r="B30" s="6"/>
      <c r="C30" s="6"/>
      <c r="D30" s="53"/>
      <c r="E30" s="53"/>
      <c r="F30" s="53"/>
      <c r="G30" s="72"/>
      <c r="H30" s="8" t="s">
        <v>34</v>
      </c>
      <c r="I30" s="9" t="s">
        <v>430</v>
      </c>
      <c r="J30" s="56">
        <f>1000000*12</f>
        <v>12000000</v>
      </c>
      <c r="K30" s="72"/>
      <c r="M30" s="52"/>
    </row>
    <row r="31" spans="1:13" ht="21.75" customHeight="1" x14ac:dyDescent="0.15">
      <c r="A31" s="7" t="s">
        <v>7</v>
      </c>
      <c r="B31" s="7" t="s">
        <v>8</v>
      </c>
      <c r="C31" s="7" t="s">
        <v>35</v>
      </c>
      <c r="D31" s="26">
        <v>10000000</v>
      </c>
      <c r="E31" s="26">
        <v>27234580</v>
      </c>
      <c r="F31" s="69">
        <f>SUM(J31:J34)</f>
        <v>14200000</v>
      </c>
      <c r="G31" s="73">
        <f>F31-D31</f>
        <v>4200000</v>
      </c>
      <c r="H31" s="15" t="s">
        <v>445</v>
      </c>
      <c r="I31" s="16"/>
      <c r="J31" s="59">
        <v>5000000</v>
      </c>
      <c r="K31" s="73"/>
      <c r="M31" s="52"/>
    </row>
    <row r="32" spans="1:13" ht="21.75" customHeight="1" x14ac:dyDescent="0.15">
      <c r="A32" s="7"/>
      <c r="B32" s="7"/>
      <c r="C32" s="7"/>
      <c r="D32" s="26"/>
      <c r="E32" s="26"/>
      <c r="F32" s="26"/>
      <c r="G32" s="75"/>
      <c r="H32" s="10" t="s">
        <v>444</v>
      </c>
      <c r="I32" s="11" t="s">
        <v>219</v>
      </c>
      <c r="J32" s="57">
        <f>500000*2</f>
        <v>1000000</v>
      </c>
      <c r="K32" s="75"/>
      <c r="M32" s="52"/>
    </row>
    <row r="33" spans="1:13" ht="21.75" customHeight="1" x14ac:dyDescent="0.15">
      <c r="A33" s="7"/>
      <c r="B33" s="7"/>
      <c r="C33" s="7"/>
      <c r="D33" s="26"/>
      <c r="E33" s="26"/>
      <c r="F33" s="26"/>
      <c r="G33" s="75"/>
      <c r="H33" s="10" t="s">
        <v>439</v>
      </c>
      <c r="I33" s="11" t="s">
        <v>440</v>
      </c>
      <c r="J33" s="57">
        <f>100000*12</f>
        <v>1200000</v>
      </c>
      <c r="K33" s="75"/>
      <c r="M33" s="52"/>
    </row>
    <row r="34" spans="1:13" ht="21.75" customHeight="1" x14ac:dyDescent="0.15">
      <c r="A34" s="7"/>
      <c r="B34" s="7"/>
      <c r="C34" s="6"/>
      <c r="D34" s="53"/>
      <c r="E34" s="53"/>
      <c r="F34" s="53"/>
      <c r="G34" s="72"/>
      <c r="H34" s="8" t="s">
        <v>431</v>
      </c>
      <c r="I34" s="9"/>
      <c r="J34" s="56">
        <f>4000000+3000000</f>
        <v>7000000</v>
      </c>
      <c r="K34" s="72"/>
      <c r="M34" s="52"/>
    </row>
    <row r="35" spans="1:13" ht="21.75" customHeight="1" x14ac:dyDescent="0.15">
      <c r="A35" s="7"/>
      <c r="B35" s="7"/>
      <c r="C35" s="7" t="s">
        <v>36</v>
      </c>
      <c r="D35" s="26">
        <v>6000000</v>
      </c>
      <c r="E35" s="26">
        <v>27567959</v>
      </c>
      <c r="F35" s="26">
        <f>SUM(J35:J36)</f>
        <v>26400000</v>
      </c>
      <c r="G35" s="75">
        <f>F35-D35</f>
        <v>20400000</v>
      </c>
      <c r="H35" s="10" t="s">
        <v>347</v>
      </c>
      <c r="I35" s="89" t="s">
        <v>567</v>
      </c>
      <c r="J35" s="57">
        <f>2000000*12</f>
        <v>24000000</v>
      </c>
      <c r="K35" s="75"/>
      <c r="M35" s="52"/>
    </row>
    <row r="36" spans="1:13" ht="21.75" customHeight="1" x14ac:dyDescent="0.15">
      <c r="A36" s="7"/>
      <c r="B36" s="7"/>
      <c r="C36" s="6"/>
      <c r="D36" s="53"/>
      <c r="E36" s="53"/>
      <c r="F36" s="53"/>
      <c r="G36" s="72"/>
      <c r="H36" s="8" t="s">
        <v>389</v>
      </c>
      <c r="I36" s="90" t="s">
        <v>429</v>
      </c>
      <c r="J36" s="56">
        <f>200000*12</f>
        <v>2400000</v>
      </c>
      <c r="K36" s="72"/>
      <c r="M36" s="52"/>
    </row>
    <row r="37" spans="1:13" ht="21.75" customHeight="1" x14ac:dyDescent="0.15">
      <c r="A37" s="7"/>
      <c r="B37" s="7"/>
      <c r="C37" s="7" t="s">
        <v>37</v>
      </c>
      <c r="D37" s="26">
        <v>31000000</v>
      </c>
      <c r="E37" s="26">
        <v>37719320</v>
      </c>
      <c r="F37" s="26">
        <f>SUM(J37:J37)</f>
        <v>12000000</v>
      </c>
      <c r="G37" s="73">
        <f>F37-D37</f>
        <v>-19000000</v>
      </c>
      <c r="H37" s="15" t="s">
        <v>38</v>
      </c>
      <c r="I37" s="16" t="s">
        <v>663</v>
      </c>
      <c r="J37" s="59">
        <f>1000000*12</f>
        <v>12000000</v>
      </c>
      <c r="K37" s="73"/>
      <c r="M37" s="52"/>
    </row>
    <row r="38" spans="1:13" ht="21.75" customHeight="1" x14ac:dyDescent="0.15">
      <c r="A38" s="7"/>
      <c r="B38" s="7"/>
      <c r="C38" s="18" t="s">
        <v>39</v>
      </c>
      <c r="D38" s="69">
        <v>5000000</v>
      </c>
      <c r="E38" s="69">
        <v>4093000</v>
      </c>
      <c r="F38" s="69">
        <f>SUM(J38:J39)</f>
        <v>5000000</v>
      </c>
      <c r="G38" s="69">
        <f>F38-D38</f>
        <v>0</v>
      </c>
      <c r="H38" s="15" t="s">
        <v>40</v>
      </c>
      <c r="I38" s="16" t="s">
        <v>390</v>
      </c>
      <c r="J38" s="59">
        <f>500000*5</f>
        <v>2500000</v>
      </c>
      <c r="K38" s="73"/>
      <c r="M38" s="52"/>
    </row>
    <row r="39" spans="1:13" ht="21.75" customHeight="1" x14ac:dyDescent="0.15">
      <c r="A39" s="7"/>
      <c r="B39" s="7"/>
      <c r="C39" s="6"/>
      <c r="D39" s="53"/>
      <c r="E39" s="53"/>
      <c r="F39" s="91"/>
      <c r="G39" s="72"/>
      <c r="H39" s="8" t="s">
        <v>41</v>
      </c>
      <c r="I39" s="9"/>
      <c r="J39" s="56">
        <v>2500000</v>
      </c>
      <c r="K39" s="72"/>
      <c r="M39" s="52"/>
    </row>
    <row r="40" spans="1:13" ht="21.75" customHeight="1" x14ac:dyDescent="0.15">
      <c r="A40" s="92"/>
      <c r="B40" s="7"/>
      <c r="C40" s="12" t="s">
        <v>42</v>
      </c>
      <c r="D40" s="51">
        <v>2000000</v>
      </c>
      <c r="E40" s="51">
        <v>2805700</v>
      </c>
      <c r="F40" s="51">
        <f>SUM(J40)</f>
        <v>3000000</v>
      </c>
      <c r="G40" s="74">
        <f>F40-D40</f>
        <v>1000000</v>
      </c>
      <c r="H40" s="13" t="s">
        <v>43</v>
      </c>
      <c r="I40" s="14"/>
      <c r="J40" s="58">
        <v>3000000</v>
      </c>
      <c r="K40" s="74"/>
      <c r="M40" s="52"/>
    </row>
    <row r="41" spans="1:13" ht="21.75" customHeight="1" x14ac:dyDescent="0.15">
      <c r="A41" s="7"/>
      <c r="B41" s="7"/>
      <c r="C41" s="6" t="s">
        <v>44</v>
      </c>
      <c r="D41" s="53">
        <v>0</v>
      </c>
      <c r="E41" s="53">
        <v>60737720</v>
      </c>
      <c r="F41" s="53">
        <f>SUM(J41)</f>
        <v>0</v>
      </c>
      <c r="G41" s="53">
        <f>F41-D41</f>
        <v>0</v>
      </c>
      <c r="H41" s="8"/>
      <c r="I41" s="9"/>
      <c r="J41" s="56"/>
      <c r="K41" s="53"/>
      <c r="M41" s="52"/>
    </row>
    <row r="42" spans="1:13" ht="21.75" customHeight="1" x14ac:dyDescent="0.15">
      <c r="A42" s="7"/>
      <c r="B42" s="7"/>
      <c r="C42" s="6" t="s">
        <v>45</v>
      </c>
      <c r="D42" s="53">
        <v>20000000</v>
      </c>
      <c r="E42" s="53">
        <v>13817689</v>
      </c>
      <c r="F42" s="53">
        <f>J42</f>
        <v>0</v>
      </c>
      <c r="G42" s="72">
        <f>F42-D42</f>
        <v>-20000000</v>
      </c>
      <c r="H42" s="8"/>
      <c r="I42" s="9"/>
      <c r="J42" s="56"/>
      <c r="K42" s="72"/>
      <c r="M42" s="52"/>
    </row>
    <row r="43" spans="1:13" ht="21.75" customHeight="1" x14ac:dyDescent="0.15">
      <c r="A43" s="7"/>
      <c r="B43" s="7"/>
      <c r="C43" s="7" t="s">
        <v>46</v>
      </c>
      <c r="D43" s="26">
        <v>38600000</v>
      </c>
      <c r="E43" s="26">
        <v>87332354</v>
      </c>
      <c r="F43" s="26">
        <f>SUM(J43:J46)</f>
        <v>40000000</v>
      </c>
      <c r="G43" s="75">
        <f>F43-D43</f>
        <v>1400000</v>
      </c>
      <c r="H43" s="10" t="s">
        <v>47</v>
      </c>
      <c r="I43" s="11"/>
      <c r="J43" s="57">
        <v>10000000</v>
      </c>
      <c r="K43" s="75"/>
      <c r="M43" s="52"/>
    </row>
    <row r="44" spans="1:13" ht="21.75" customHeight="1" x14ac:dyDescent="0.15">
      <c r="A44" s="7"/>
      <c r="B44" s="7"/>
      <c r="C44" s="7"/>
      <c r="D44" s="26"/>
      <c r="E44" s="26"/>
      <c r="F44" s="26"/>
      <c r="G44" s="75"/>
      <c r="H44" s="10" t="s">
        <v>48</v>
      </c>
      <c r="I44" s="11"/>
      <c r="J44" s="57">
        <v>5000000</v>
      </c>
      <c r="K44" s="75"/>
      <c r="M44" s="52"/>
    </row>
    <row r="45" spans="1:13" ht="21.75" customHeight="1" x14ac:dyDescent="0.15">
      <c r="A45" s="7"/>
      <c r="B45" s="7"/>
      <c r="C45" s="7"/>
      <c r="D45" s="26"/>
      <c r="E45" s="26"/>
      <c r="F45" s="26"/>
      <c r="G45" s="75"/>
      <c r="H45" s="10" t="s">
        <v>49</v>
      </c>
      <c r="I45" s="11"/>
      <c r="J45" s="57">
        <v>5000000</v>
      </c>
      <c r="K45" s="75"/>
      <c r="M45" s="52"/>
    </row>
    <row r="46" spans="1:13" ht="21.75" customHeight="1" x14ac:dyDescent="0.15">
      <c r="A46" s="7"/>
      <c r="B46" s="7"/>
      <c r="C46" s="6"/>
      <c r="D46" s="53"/>
      <c r="E46" s="53"/>
      <c r="F46" s="53"/>
      <c r="G46" s="72"/>
      <c r="H46" s="8" t="s">
        <v>50</v>
      </c>
      <c r="I46" s="9"/>
      <c r="J46" s="56">
        <v>20000000</v>
      </c>
      <c r="K46" s="72"/>
      <c r="M46" s="52"/>
    </row>
    <row r="47" spans="1:13" ht="21.75" customHeight="1" x14ac:dyDescent="0.15">
      <c r="A47" s="7"/>
      <c r="B47" s="7"/>
      <c r="C47" s="12" t="s">
        <v>759</v>
      </c>
      <c r="D47" s="51">
        <v>0</v>
      </c>
      <c r="E47" s="51">
        <v>792000</v>
      </c>
      <c r="F47" s="51">
        <v>0</v>
      </c>
      <c r="G47" s="51">
        <f>F47-D47</f>
        <v>0</v>
      </c>
      <c r="H47" s="13"/>
      <c r="I47" s="14"/>
      <c r="J47" s="58"/>
      <c r="K47" s="74"/>
      <c r="M47" s="52"/>
    </row>
    <row r="48" spans="1:13" ht="21.75" customHeight="1" x14ac:dyDescent="0.15">
      <c r="A48" s="7"/>
      <c r="B48" s="7"/>
      <c r="C48" s="7" t="s">
        <v>191</v>
      </c>
      <c r="D48" s="26">
        <v>0</v>
      </c>
      <c r="E48" s="26">
        <v>1837000</v>
      </c>
      <c r="F48" s="26">
        <f>SUM(J48:J49)</f>
        <v>13422000</v>
      </c>
      <c r="G48" s="75">
        <f>F48-D48</f>
        <v>13422000</v>
      </c>
      <c r="H48" s="10" t="s">
        <v>425</v>
      </c>
      <c r="I48" s="11" t="s">
        <v>426</v>
      </c>
      <c r="J48" s="57">
        <f>918500*12</f>
        <v>11022000</v>
      </c>
      <c r="K48" s="75"/>
      <c r="M48" s="52"/>
    </row>
    <row r="49" spans="1:13" ht="21.75" customHeight="1" x14ac:dyDescent="0.15">
      <c r="A49" s="6"/>
      <c r="B49" s="6"/>
      <c r="C49" s="6"/>
      <c r="D49" s="53"/>
      <c r="E49" s="53"/>
      <c r="F49" s="53"/>
      <c r="G49" s="72"/>
      <c r="H49" s="8" t="s">
        <v>428</v>
      </c>
      <c r="I49" s="9" t="s">
        <v>429</v>
      </c>
      <c r="J49" s="56">
        <f>200000*12</f>
        <v>2400000</v>
      </c>
      <c r="K49" s="72"/>
      <c r="M49" s="52"/>
    </row>
    <row r="50" spans="1:13" ht="16.5" customHeight="1" x14ac:dyDescent="0.15">
      <c r="A50" s="7" t="s">
        <v>7</v>
      </c>
      <c r="B50" s="7" t="s">
        <v>709</v>
      </c>
      <c r="C50" s="6"/>
      <c r="D50" s="88">
        <f>SUM(D51:D69)</f>
        <v>163200000</v>
      </c>
      <c r="E50" s="88">
        <f>SUM(E51:E71)</f>
        <v>179258700</v>
      </c>
      <c r="F50" s="88">
        <f>SUM(F51:F69)</f>
        <v>146102016</v>
      </c>
      <c r="G50" s="120">
        <f>SUM(G51:G69)</f>
        <v>-17097984</v>
      </c>
      <c r="H50" s="98"/>
      <c r="I50" s="14"/>
      <c r="J50" s="108"/>
      <c r="K50" s="118"/>
      <c r="L50" s="2"/>
    </row>
    <row r="51" spans="1:13" ht="16.5" customHeight="1" x14ac:dyDescent="0.15">
      <c r="A51" s="7"/>
      <c r="B51" s="7"/>
      <c r="C51" s="7" t="s">
        <v>710</v>
      </c>
      <c r="D51" s="109">
        <v>55538220</v>
      </c>
      <c r="E51" s="109">
        <v>55538220</v>
      </c>
      <c r="F51" s="109">
        <f>SUM(J51:J54)</f>
        <v>51714168</v>
      </c>
      <c r="G51" s="75">
        <f>F51-D51</f>
        <v>-3824052</v>
      </c>
      <c r="H51" s="10" t="s">
        <v>711</v>
      </c>
      <c r="I51" s="11" t="s">
        <v>740</v>
      </c>
      <c r="J51" s="110">
        <f>1417677*12</f>
        <v>17012124</v>
      </c>
      <c r="K51" s="75"/>
      <c r="L51" s="2"/>
    </row>
    <row r="52" spans="1:13" ht="16.5" customHeight="1" x14ac:dyDescent="0.15">
      <c r="A52" s="7"/>
      <c r="B52" s="7"/>
      <c r="C52" s="7"/>
      <c r="D52" s="109"/>
      <c r="E52" s="109"/>
      <c r="F52" s="109"/>
      <c r="G52" s="75"/>
      <c r="H52" s="10" t="s">
        <v>712</v>
      </c>
      <c r="I52" s="11" t="s">
        <v>738</v>
      </c>
      <c r="J52" s="110">
        <f>1191467*12</f>
        <v>14297604</v>
      </c>
      <c r="K52" s="75"/>
      <c r="L52" s="2"/>
    </row>
    <row r="53" spans="1:13" ht="16.5" customHeight="1" x14ac:dyDescent="0.15">
      <c r="A53" s="7"/>
      <c r="B53" s="7"/>
      <c r="C53" s="7"/>
      <c r="D53" s="109"/>
      <c r="E53" s="109"/>
      <c r="F53" s="109"/>
      <c r="G53" s="75"/>
      <c r="H53" s="10" t="s">
        <v>713</v>
      </c>
      <c r="I53" s="11" t="s">
        <v>741</v>
      </c>
      <c r="J53" s="110">
        <f>885041*12</f>
        <v>10620492</v>
      </c>
      <c r="K53" s="75"/>
      <c r="L53" s="2"/>
    </row>
    <row r="54" spans="1:13" ht="16.5" customHeight="1" x14ac:dyDescent="0.15">
      <c r="A54" s="6"/>
      <c r="B54" s="6"/>
      <c r="C54" s="6"/>
      <c r="D54" s="111"/>
      <c r="E54" s="111"/>
      <c r="F54" s="111"/>
      <c r="G54" s="72"/>
      <c r="H54" s="8" t="s">
        <v>714</v>
      </c>
      <c r="I54" s="9" t="s">
        <v>742</v>
      </c>
      <c r="J54" s="112">
        <f>815329*12</f>
        <v>9783948</v>
      </c>
      <c r="K54" s="72"/>
      <c r="L54" s="2"/>
    </row>
    <row r="55" spans="1:13" ht="19.5" customHeight="1" x14ac:dyDescent="0.15">
      <c r="A55" s="7" t="s">
        <v>7</v>
      </c>
      <c r="B55" s="7" t="s">
        <v>709</v>
      </c>
      <c r="C55" s="7" t="s">
        <v>715</v>
      </c>
      <c r="D55" s="109">
        <v>26400000</v>
      </c>
      <c r="E55" s="109">
        <v>26400000</v>
      </c>
      <c r="F55" s="109">
        <f>SUM(J55:J58)</f>
        <v>23634492</v>
      </c>
      <c r="G55" s="75">
        <f>F55-D55</f>
        <v>-2765508</v>
      </c>
      <c r="H55" s="10" t="s">
        <v>711</v>
      </c>
      <c r="I55" s="11" t="s">
        <v>739</v>
      </c>
      <c r="J55" s="110">
        <f>611159*12</f>
        <v>7333908</v>
      </c>
      <c r="K55" s="75"/>
      <c r="L55" s="2"/>
    </row>
    <row r="56" spans="1:13" ht="19.5" customHeight="1" x14ac:dyDescent="0.15">
      <c r="A56" s="7"/>
      <c r="B56" s="7"/>
      <c r="C56" s="7"/>
      <c r="D56" s="109"/>
      <c r="E56" s="109"/>
      <c r="F56" s="109"/>
      <c r="G56" s="75"/>
      <c r="H56" s="10" t="s">
        <v>712</v>
      </c>
      <c r="I56" s="11" t="s">
        <v>743</v>
      </c>
      <c r="J56" s="110">
        <f>515331*12</f>
        <v>6183972</v>
      </c>
      <c r="K56" s="75"/>
      <c r="L56" s="2"/>
    </row>
    <row r="57" spans="1:13" ht="19.5" customHeight="1" x14ac:dyDescent="0.15">
      <c r="A57" s="7"/>
      <c r="B57" s="7"/>
      <c r="C57" s="7"/>
      <c r="D57" s="109"/>
      <c r="E57" s="109"/>
      <c r="F57" s="109"/>
      <c r="G57" s="75"/>
      <c r="H57" s="10" t="s">
        <v>713</v>
      </c>
      <c r="I57" s="11" t="s">
        <v>744</v>
      </c>
      <c r="J57" s="110">
        <f>446012*12</f>
        <v>5352144</v>
      </c>
      <c r="K57" s="75"/>
      <c r="L57" s="2"/>
    </row>
    <row r="58" spans="1:13" ht="19.5" customHeight="1" x14ac:dyDescent="0.15">
      <c r="A58" s="7"/>
      <c r="B58" s="7"/>
      <c r="C58" s="6"/>
      <c r="D58" s="111"/>
      <c r="E58" s="111"/>
      <c r="F58" s="111"/>
      <c r="G58" s="72"/>
      <c r="H58" s="8" t="s">
        <v>714</v>
      </c>
      <c r="I58" s="9" t="s">
        <v>745</v>
      </c>
      <c r="J58" s="112">
        <f>397039*12</f>
        <v>4764468</v>
      </c>
      <c r="K58" s="72"/>
      <c r="L58" s="2"/>
    </row>
    <row r="59" spans="1:13" ht="19.5" customHeight="1" x14ac:dyDescent="0.15">
      <c r="A59" s="7"/>
      <c r="B59" s="7"/>
      <c r="C59" s="7" t="s">
        <v>716</v>
      </c>
      <c r="D59" s="109">
        <v>48600000</v>
      </c>
      <c r="E59" s="109">
        <v>48600000</v>
      </c>
      <c r="F59" s="109">
        <f>SUM(J59:J62)</f>
        <v>38289588</v>
      </c>
      <c r="G59" s="75">
        <f>F59-D59</f>
        <v>-10310412</v>
      </c>
      <c r="H59" s="10" t="s">
        <v>711</v>
      </c>
      <c r="I59" s="11" t="s">
        <v>746</v>
      </c>
      <c r="J59" s="110">
        <f>1466781*12</f>
        <v>17601372</v>
      </c>
      <c r="K59" s="75"/>
      <c r="L59" s="2"/>
    </row>
    <row r="60" spans="1:13" ht="19.5" customHeight="1" x14ac:dyDescent="0.15">
      <c r="A60" s="7"/>
      <c r="B60" s="7"/>
      <c r="C60" s="7"/>
      <c r="D60" s="109"/>
      <c r="E60" s="109"/>
      <c r="F60" s="109"/>
      <c r="G60" s="75"/>
      <c r="H60" s="10" t="s">
        <v>712</v>
      </c>
      <c r="I60" s="11" t="s">
        <v>747</v>
      </c>
      <c r="J60" s="110">
        <f>1104280*12</f>
        <v>13251360</v>
      </c>
      <c r="K60" s="75"/>
      <c r="L60" s="2"/>
    </row>
    <row r="61" spans="1:13" ht="19.5" customHeight="1" x14ac:dyDescent="0.15">
      <c r="A61" s="92"/>
      <c r="B61" s="7"/>
      <c r="C61" s="7"/>
      <c r="D61" s="109"/>
      <c r="E61" s="109"/>
      <c r="F61" s="109"/>
      <c r="G61" s="75"/>
      <c r="H61" s="10" t="s">
        <v>713</v>
      </c>
      <c r="I61" s="11" t="s">
        <v>748</v>
      </c>
      <c r="J61" s="110">
        <f>433626*12</f>
        <v>5203512</v>
      </c>
      <c r="K61" s="75"/>
      <c r="L61" s="2"/>
    </row>
    <row r="62" spans="1:13" ht="19.5" customHeight="1" x14ac:dyDescent="0.15">
      <c r="A62" s="7"/>
      <c r="B62" s="7"/>
      <c r="C62" s="6"/>
      <c r="D62" s="111"/>
      <c r="E62" s="111"/>
      <c r="F62" s="111"/>
      <c r="G62" s="72"/>
      <c r="H62" s="8" t="s">
        <v>714</v>
      </c>
      <c r="I62" s="9" t="s">
        <v>749</v>
      </c>
      <c r="J62" s="112">
        <f>186112*12</f>
        <v>2233344</v>
      </c>
      <c r="K62" s="72"/>
      <c r="L62" s="2"/>
    </row>
    <row r="63" spans="1:13" ht="19.5" customHeight="1" x14ac:dyDescent="0.15">
      <c r="A63" s="7"/>
      <c r="B63" s="7"/>
      <c r="C63" s="7" t="s">
        <v>717</v>
      </c>
      <c r="D63" s="109">
        <v>15861780</v>
      </c>
      <c r="E63" s="109">
        <v>15861780</v>
      </c>
      <c r="F63" s="109">
        <f>SUM(J63:J66)</f>
        <v>13983768</v>
      </c>
      <c r="G63" s="75">
        <f>F63-D63</f>
        <v>-1878012</v>
      </c>
      <c r="H63" s="10" t="s">
        <v>711</v>
      </c>
      <c r="I63" s="11" t="s">
        <v>750</v>
      </c>
      <c r="J63" s="110">
        <f>415799*12</f>
        <v>4989588</v>
      </c>
      <c r="K63" s="75"/>
      <c r="L63" s="2"/>
    </row>
    <row r="64" spans="1:13" ht="19.5" customHeight="1" x14ac:dyDescent="0.15">
      <c r="A64" s="7"/>
      <c r="B64" s="7"/>
      <c r="C64" s="7"/>
      <c r="D64" s="109"/>
      <c r="E64" s="109"/>
      <c r="F64" s="109"/>
      <c r="G64" s="75"/>
      <c r="H64" s="10" t="s">
        <v>712</v>
      </c>
      <c r="I64" s="11" t="s">
        <v>753</v>
      </c>
      <c r="J64" s="110">
        <f>342256*12</f>
        <v>4107072</v>
      </c>
      <c r="K64" s="75"/>
      <c r="L64" s="2"/>
    </row>
    <row r="65" spans="1:12" ht="19.5" customHeight="1" x14ac:dyDescent="0.15">
      <c r="A65" s="7"/>
      <c r="B65" s="7"/>
      <c r="C65" s="7"/>
      <c r="D65" s="109"/>
      <c r="E65" s="109"/>
      <c r="F65" s="109"/>
      <c r="G65" s="75"/>
      <c r="H65" s="10" t="s">
        <v>713</v>
      </c>
      <c r="I65" s="11" t="s">
        <v>751</v>
      </c>
      <c r="J65" s="110">
        <f>229990*12</f>
        <v>2759880</v>
      </c>
      <c r="K65" s="75"/>
      <c r="L65" s="2"/>
    </row>
    <row r="66" spans="1:12" ht="19.5" customHeight="1" x14ac:dyDescent="0.15">
      <c r="A66" s="7"/>
      <c r="B66" s="7"/>
      <c r="C66" s="6"/>
      <c r="D66" s="111"/>
      <c r="E66" s="111"/>
      <c r="F66" s="111"/>
      <c r="G66" s="72"/>
      <c r="H66" s="8" t="s">
        <v>714</v>
      </c>
      <c r="I66" s="9" t="s">
        <v>752</v>
      </c>
      <c r="J66" s="112">
        <f>177269*12</f>
        <v>2127228</v>
      </c>
      <c r="K66" s="72"/>
      <c r="L66" s="2"/>
    </row>
    <row r="67" spans="1:12" ht="19.5" customHeight="1" x14ac:dyDescent="0.15">
      <c r="A67" s="7"/>
      <c r="B67" s="7"/>
      <c r="C67" s="12" t="s">
        <v>718</v>
      </c>
      <c r="D67" s="113">
        <v>6000000</v>
      </c>
      <c r="E67" s="113">
        <v>6000000</v>
      </c>
      <c r="F67" s="113">
        <f>SUM(J67)</f>
        <v>6600000</v>
      </c>
      <c r="G67" s="51">
        <f>F67-D67</f>
        <v>600000</v>
      </c>
      <c r="H67" s="13" t="s">
        <v>719</v>
      </c>
      <c r="I67" s="14" t="s">
        <v>737</v>
      </c>
      <c r="J67" s="114">
        <f>110000*5*12</f>
        <v>6600000</v>
      </c>
      <c r="K67" s="51"/>
      <c r="L67" s="2"/>
    </row>
    <row r="68" spans="1:12" ht="19.5" customHeight="1" x14ac:dyDescent="0.15">
      <c r="A68" s="7"/>
      <c r="B68" s="7"/>
      <c r="C68" s="6" t="s">
        <v>720</v>
      </c>
      <c r="D68" s="111">
        <v>1200000</v>
      </c>
      <c r="E68" s="111">
        <v>1200000</v>
      </c>
      <c r="F68" s="113">
        <f>SUM(J68)</f>
        <v>1320000</v>
      </c>
      <c r="G68" s="51">
        <f>F68-D68</f>
        <v>120000</v>
      </c>
      <c r="H68" s="8" t="s">
        <v>721</v>
      </c>
      <c r="I68" s="9" t="s">
        <v>736</v>
      </c>
      <c r="J68" s="114">
        <f>110000*1*12</f>
        <v>1320000</v>
      </c>
      <c r="K68" s="51"/>
      <c r="L68" s="2"/>
    </row>
    <row r="69" spans="1:12" ht="19.5" customHeight="1" x14ac:dyDescent="0.15">
      <c r="A69" s="7"/>
      <c r="B69" s="7"/>
      <c r="C69" s="6" t="s">
        <v>722</v>
      </c>
      <c r="D69" s="111">
        <v>9600000</v>
      </c>
      <c r="E69" s="111">
        <v>9600000</v>
      </c>
      <c r="F69" s="113">
        <f>SUM(J69)</f>
        <v>10560000</v>
      </c>
      <c r="G69" s="51">
        <f>F69-D69</f>
        <v>960000</v>
      </c>
      <c r="H69" s="8" t="s">
        <v>723</v>
      </c>
      <c r="I69" s="9" t="s">
        <v>735</v>
      </c>
      <c r="J69" s="114">
        <f>220000*4*12</f>
        <v>10560000</v>
      </c>
      <c r="K69" s="51"/>
      <c r="L69" s="2"/>
    </row>
    <row r="70" spans="1:12" ht="19.5" customHeight="1" x14ac:dyDescent="0.15">
      <c r="A70" s="7"/>
      <c r="B70" s="7"/>
      <c r="C70" s="6" t="s">
        <v>760</v>
      </c>
      <c r="D70" s="111">
        <v>0</v>
      </c>
      <c r="E70" s="111">
        <v>13458700</v>
      </c>
      <c r="F70" s="111">
        <v>0</v>
      </c>
      <c r="G70" s="53">
        <f>F70-D70</f>
        <v>0</v>
      </c>
      <c r="H70" s="8"/>
      <c r="I70" s="9"/>
      <c r="J70" s="112"/>
      <c r="K70" s="53"/>
      <c r="L70" s="2"/>
    </row>
    <row r="71" spans="1:12" ht="19.5" customHeight="1" x14ac:dyDescent="0.15">
      <c r="A71" s="7"/>
      <c r="B71" s="6"/>
      <c r="C71" s="6" t="s">
        <v>761</v>
      </c>
      <c r="D71" s="111">
        <v>0</v>
      </c>
      <c r="E71" s="111">
        <v>2600000</v>
      </c>
      <c r="F71" s="111">
        <v>0</v>
      </c>
      <c r="G71" s="53">
        <f>F71-D71</f>
        <v>0</v>
      </c>
      <c r="H71" s="8"/>
      <c r="I71" s="9"/>
      <c r="J71" s="112"/>
      <c r="K71" s="53"/>
      <c r="L71" s="2"/>
    </row>
    <row r="72" spans="1:12" ht="19.5" customHeight="1" x14ac:dyDescent="0.15">
      <c r="A72" s="7"/>
      <c r="B72" s="7" t="s">
        <v>724</v>
      </c>
      <c r="C72" s="6"/>
      <c r="D72" s="111">
        <f>SUM(D73:D77)</f>
        <v>29900000</v>
      </c>
      <c r="E72" s="111">
        <f>SUM(E73:E80)</f>
        <v>42795630</v>
      </c>
      <c r="F72" s="111">
        <f>SUM(F73:F78)</f>
        <v>28375168</v>
      </c>
      <c r="G72" s="116">
        <f>SUM(G73:G77)</f>
        <v>-3524832</v>
      </c>
      <c r="H72" s="8"/>
      <c r="I72" s="9"/>
      <c r="J72" s="117"/>
      <c r="K72" s="116"/>
      <c r="L72" s="2"/>
    </row>
    <row r="73" spans="1:12" ht="19.5" customHeight="1" x14ac:dyDescent="0.15">
      <c r="A73" s="7"/>
      <c r="B73" s="7"/>
      <c r="C73" s="6" t="s">
        <v>725</v>
      </c>
      <c r="D73" s="113">
        <v>8400000</v>
      </c>
      <c r="E73" s="113">
        <v>5489280</v>
      </c>
      <c r="F73" s="113">
        <f>SUM(J73)</f>
        <v>6600000</v>
      </c>
      <c r="G73" s="115">
        <f t="shared" ref="G73:G80" si="0">F73-D73</f>
        <v>-1800000</v>
      </c>
      <c r="H73" s="13" t="s">
        <v>726</v>
      </c>
      <c r="I73" s="14"/>
      <c r="J73" s="114">
        <v>6600000</v>
      </c>
      <c r="K73" s="115"/>
      <c r="L73" s="2"/>
    </row>
    <row r="74" spans="1:12" ht="19.5" customHeight="1" x14ac:dyDescent="0.15">
      <c r="A74" s="7"/>
      <c r="B74" s="7"/>
      <c r="C74" s="6" t="s">
        <v>727</v>
      </c>
      <c r="D74" s="111">
        <v>4800000</v>
      </c>
      <c r="E74" s="111">
        <v>3955830</v>
      </c>
      <c r="F74" s="111">
        <f>SUM(J74)</f>
        <v>3900000</v>
      </c>
      <c r="G74" s="116">
        <f t="shared" si="0"/>
        <v>-900000</v>
      </c>
      <c r="H74" s="8" t="s">
        <v>728</v>
      </c>
      <c r="I74" s="9"/>
      <c r="J74" s="117">
        <v>3900000</v>
      </c>
      <c r="K74" s="116"/>
      <c r="L74" s="2"/>
    </row>
    <row r="75" spans="1:12" ht="19.5" customHeight="1" x14ac:dyDescent="0.15">
      <c r="A75" s="7"/>
      <c r="B75" s="7"/>
      <c r="C75" s="6" t="s">
        <v>729</v>
      </c>
      <c r="D75" s="111">
        <v>3000000</v>
      </c>
      <c r="E75" s="111">
        <v>2820520</v>
      </c>
      <c r="F75" s="111">
        <f>SUM(J75)</f>
        <v>3500000</v>
      </c>
      <c r="G75" s="116">
        <f t="shared" si="0"/>
        <v>500000</v>
      </c>
      <c r="H75" s="8" t="s">
        <v>730</v>
      </c>
      <c r="I75" s="9"/>
      <c r="J75" s="117">
        <v>3500000</v>
      </c>
      <c r="K75" s="116"/>
      <c r="L75" s="2"/>
    </row>
    <row r="76" spans="1:12" ht="19.5" customHeight="1" x14ac:dyDescent="0.15">
      <c r="A76" s="7"/>
      <c r="B76" s="7"/>
      <c r="C76" s="12" t="s">
        <v>731</v>
      </c>
      <c r="D76" s="113">
        <v>13600000</v>
      </c>
      <c r="E76" s="113">
        <v>13600000</v>
      </c>
      <c r="F76" s="113">
        <f>J76</f>
        <v>12175168</v>
      </c>
      <c r="G76" s="116">
        <f t="shared" si="0"/>
        <v>-1424832</v>
      </c>
      <c r="H76" s="13" t="s">
        <v>732</v>
      </c>
      <c r="I76" s="14"/>
      <c r="J76" s="108">
        <f>F50/12</f>
        <v>12175168</v>
      </c>
      <c r="K76" s="116"/>
      <c r="L76" s="2"/>
    </row>
    <row r="77" spans="1:12" ht="19.5" customHeight="1" x14ac:dyDescent="0.15">
      <c r="A77" s="7"/>
      <c r="B77" s="7"/>
      <c r="C77" s="6" t="s">
        <v>733</v>
      </c>
      <c r="D77" s="111">
        <v>100000</v>
      </c>
      <c r="E77" s="111">
        <v>0</v>
      </c>
      <c r="F77" s="111">
        <f>SUM(J77)</f>
        <v>200000</v>
      </c>
      <c r="G77" s="116">
        <f t="shared" si="0"/>
        <v>100000</v>
      </c>
      <c r="H77" s="8" t="s">
        <v>734</v>
      </c>
      <c r="I77" s="9"/>
      <c r="J77" s="58">
        <v>200000</v>
      </c>
      <c r="K77" s="116"/>
      <c r="L77" s="2"/>
    </row>
    <row r="78" spans="1:12" ht="19.5" customHeight="1" x14ac:dyDescent="0.15">
      <c r="A78" s="7"/>
      <c r="B78" s="7"/>
      <c r="C78" s="12" t="s">
        <v>754</v>
      </c>
      <c r="D78" s="113">
        <v>0</v>
      </c>
      <c r="E78" s="113">
        <v>0</v>
      </c>
      <c r="F78" s="113">
        <f>SUM(J78)</f>
        <v>2000000</v>
      </c>
      <c r="G78" s="115">
        <f t="shared" si="0"/>
        <v>2000000</v>
      </c>
      <c r="H78" s="13" t="s">
        <v>755</v>
      </c>
      <c r="I78" s="14" t="s">
        <v>756</v>
      </c>
      <c r="J78" s="58">
        <f>500000*4</f>
        <v>2000000</v>
      </c>
      <c r="K78" s="115"/>
      <c r="L78" s="2"/>
    </row>
    <row r="79" spans="1:12" ht="19.5" customHeight="1" x14ac:dyDescent="0.15">
      <c r="A79" s="7"/>
      <c r="B79" s="7"/>
      <c r="C79" s="6" t="s">
        <v>762</v>
      </c>
      <c r="D79" s="111">
        <v>0</v>
      </c>
      <c r="E79" s="111">
        <v>6775000</v>
      </c>
      <c r="F79" s="111">
        <v>0</v>
      </c>
      <c r="G79" s="53">
        <f t="shared" si="0"/>
        <v>0</v>
      </c>
      <c r="H79" s="8"/>
      <c r="I79" s="9"/>
      <c r="J79" s="56"/>
      <c r="K79" s="116"/>
      <c r="L79" s="2"/>
    </row>
    <row r="80" spans="1:12" ht="19.5" customHeight="1" x14ac:dyDescent="0.15">
      <c r="A80" s="6"/>
      <c r="B80" s="6"/>
      <c r="C80" s="6" t="s">
        <v>763</v>
      </c>
      <c r="D80" s="111">
        <v>0</v>
      </c>
      <c r="E80" s="111">
        <v>10155000</v>
      </c>
      <c r="F80" s="111">
        <v>0</v>
      </c>
      <c r="G80" s="53">
        <f t="shared" si="0"/>
        <v>0</v>
      </c>
      <c r="H80" s="8"/>
      <c r="I80" s="9"/>
      <c r="J80" s="56"/>
      <c r="K80" s="116"/>
      <c r="L80" s="2"/>
    </row>
    <row r="81" spans="1:13" ht="23.25" customHeight="1" x14ac:dyDescent="0.15">
      <c r="A81" s="7" t="s">
        <v>51</v>
      </c>
      <c r="B81" s="6"/>
      <c r="C81" s="6"/>
      <c r="D81" s="53">
        <v>304229000</v>
      </c>
      <c r="E81" s="53">
        <f>E82+E158+E187+E218+E232+E259+E273+E302+E333+E103+E116+E129+E145+E345</f>
        <v>195677096</v>
      </c>
      <c r="F81" s="53">
        <f>F82+F158+F187+F218+F232+F259+F273+F302+F333+F103+F116+F129+F145+F345</f>
        <v>517807750</v>
      </c>
      <c r="G81" s="53">
        <f>G82+G158+G187+G218+G232+G259+G273+G302+G333+G103+G116+G129+G145+G345</f>
        <v>214495760</v>
      </c>
      <c r="H81" s="94"/>
      <c r="I81" s="9"/>
      <c r="J81" s="56"/>
      <c r="K81" s="53"/>
      <c r="M81" s="52"/>
    </row>
    <row r="82" spans="1:13" ht="23.25" customHeight="1" x14ac:dyDescent="0.15">
      <c r="A82" s="7"/>
      <c r="B82" s="7" t="s">
        <v>52</v>
      </c>
      <c r="C82" s="12"/>
      <c r="D82" s="53">
        <v>48750000</v>
      </c>
      <c r="E82" s="53">
        <f>SUM(E83:E102)</f>
        <v>15021603</v>
      </c>
      <c r="F82" s="53">
        <f>SUM(F83:F102)</f>
        <v>43722000</v>
      </c>
      <c r="G82" s="72">
        <f>F82-D82</f>
        <v>-5028000</v>
      </c>
      <c r="H82" s="13"/>
      <c r="I82" s="14"/>
      <c r="J82" s="58"/>
      <c r="K82" s="72"/>
      <c r="M82" s="52"/>
    </row>
    <row r="83" spans="1:13" ht="23.25" customHeight="1" x14ac:dyDescent="0.15">
      <c r="A83" s="7"/>
      <c r="B83" s="7" t="s">
        <v>53</v>
      </c>
      <c r="C83" s="18" t="s">
        <v>55</v>
      </c>
      <c r="D83" s="69">
        <v>15600000</v>
      </c>
      <c r="E83" s="69">
        <v>4890000</v>
      </c>
      <c r="F83" s="69">
        <f>SUM(J83:J92)</f>
        <v>21302000</v>
      </c>
      <c r="G83" s="73">
        <f>F83-D83</f>
        <v>5702000</v>
      </c>
      <c r="H83" s="10" t="s">
        <v>467</v>
      </c>
      <c r="I83" s="20" t="s">
        <v>468</v>
      </c>
      <c r="J83" s="61">
        <f>30000*35*4</f>
        <v>4200000</v>
      </c>
      <c r="K83" s="73"/>
      <c r="M83" s="52"/>
    </row>
    <row r="84" spans="1:13" ht="23.25" customHeight="1" x14ac:dyDescent="0.15">
      <c r="A84" s="7"/>
      <c r="B84" s="7" t="s">
        <v>478</v>
      </c>
      <c r="C84" s="7"/>
      <c r="D84" s="26"/>
      <c r="E84" s="26"/>
      <c r="F84" s="26"/>
      <c r="G84" s="75"/>
      <c r="H84" s="10" t="s">
        <v>764</v>
      </c>
      <c r="I84" s="20" t="s">
        <v>475</v>
      </c>
      <c r="J84" s="61">
        <f>30000*31*4</f>
        <v>3720000</v>
      </c>
      <c r="K84" s="75"/>
      <c r="M84" s="52"/>
    </row>
    <row r="85" spans="1:13" ht="23.25" customHeight="1" x14ac:dyDescent="0.15">
      <c r="A85" s="7"/>
      <c r="B85" s="7"/>
      <c r="C85" s="7"/>
      <c r="D85" s="26"/>
      <c r="E85" s="26"/>
      <c r="F85" s="26"/>
      <c r="G85" s="75"/>
      <c r="H85" s="10" t="s">
        <v>479</v>
      </c>
      <c r="I85" s="20" t="s">
        <v>469</v>
      </c>
      <c r="J85" s="61">
        <f>15000*35*4</f>
        <v>2100000</v>
      </c>
      <c r="K85" s="75"/>
      <c r="M85" s="52"/>
    </row>
    <row r="86" spans="1:13" ht="23.25" customHeight="1" x14ac:dyDescent="0.15">
      <c r="A86" s="7"/>
      <c r="B86" s="7"/>
      <c r="C86" s="7"/>
      <c r="D86" s="26"/>
      <c r="E86" s="26"/>
      <c r="F86" s="26"/>
      <c r="G86" s="75"/>
      <c r="H86" s="10" t="s">
        <v>484</v>
      </c>
      <c r="I86" s="20" t="s">
        <v>476</v>
      </c>
      <c r="J86" s="61">
        <f>15000*31*4</f>
        <v>1860000</v>
      </c>
      <c r="K86" s="75"/>
      <c r="M86" s="52"/>
    </row>
    <row r="87" spans="1:13" ht="23.25" customHeight="1" x14ac:dyDescent="0.15">
      <c r="A87" s="7"/>
      <c r="B87" s="7"/>
      <c r="C87" s="7"/>
      <c r="D87" s="26"/>
      <c r="E87" s="26"/>
      <c r="F87" s="26"/>
      <c r="G87" s="75"/>
      <c r="H87" s="10" t="s">
        <v>470</v>
      </c>
      <c r="I87" s="20" t="s">
        <v>471</v>
      </c>
      <c r="J87" s="61">
        <f>50000*35</f>
        <v>1750000</v>
      </c>
      <c r="K87" s="75"/>
      <c r="M87" s="52"/>
    </row>
    <row r="88" spans="1:13" ht="23.25" customHeight="1" x14ac:dyDescent="0.15">
      <c r="A88" s="7"/>
      <c r="B88" s="7"/>
      <c r="C88" s="7"/>
      <c r="D88" s="26"/>
      <c r="E88" s="26"/>
      <c r="F88" s="26"/>
      <c r="G88" s="75"/>
      <c r="H88" s="10" t="s">
        <v>482</v>
      </c>
      <c r="I88" s="20" t="s">
        <v>650</v>
      </c>
      <c r="J88" s="61">
        <f>40000*18*4</f>
        <v>2880000</v>
      </c>
      <c r="K88" s="75"/>
      <c r="M88" s="52"/>
    </row>
    <row r="89" spans="1:13" ht="23.25" customHeight="1" x14ac:dyDescent="0.15">
      <c r="A89" s="7"/>
      <c r="B89" s="7"/>
      <c r="C89" s="7"/>
      <c r="D89" s="26"/>
      <c r="E89" s="26"/>
      <c r="F89" s="26"/>
      <c r="G89" s="75"/>
      <c r="H89" s="10" t="s">
        <v>483</v>
      </c>
      <c r="I89" s="20" t="s">
        <v>651</v>
      </c>
      <c r="J89" s="61">
        <f>40000*16*5</f>
        <v>3200000</v>
      </c>
      <c r="K89" s="75"/>
      <c r="M89" s="52"/>
    </row>
    <row r="90" spans="1:13" ht="23.25" customHeight="1" x14ac:dyDescent="0.15">
      <c r="A90" s="7"/>
      <c r="B90" s="7"/>
      <c r="C90" s="7"/>
      <c r="D90" s="26"/>
      <c r="E90" s="26"/>
      <c r="F90" s="26"/>
      <c r="G90" s="75"/>
      <c r="H90" s="10" t="s">
        <v>480</v>
      </c>
      <c r="I90" s="20" t="s">
        <v>472</v>
      </c>
      <c r="J90" s="61">
        <f>3000*35*4</f>
        <v>420000</v>
      </c>
      <c r="K90" s="75"/>
      <c r="M90" s="52"/>
    </row>
    <row r="91" spans="1:13" ht="23.25" customHeight="1" x14ac:dyDescent="0.15">
      <c r="A91" s="7"/>
      <c r="B91" s="7"/>
      <c r="C91" s="7"/>
      <c r="D91" s="26"/>
      <c r="E91" s="26"/>
      <c r="F91" s="26"/>
      <c r="G91" s="75"/>
      <c r="H91" s="10" t="s">
        <v>481</v>
      </c>
      <c r="I91" s="20" t="s">
        <v>477</v>
      </c>
      <c r="J91" s="61">
        <f>3000*31*4</f>
        <v>372000</v>
      </c>
      <c r="K91" s="75"/>
      <c r="M91" s="52"/>
    </row>
    <row r="92" spans="1:13" ht="23.25" customHeight="1" x14ac:dyDescent="0.15">
      <c r="A92" s="7"/>
      <c r="B92" s="7"/>
      <c r="C92" s="6"/>
      <c r="D92" s="53"/>
      <c r="E92" s="53"/>
      <c r="F92" s="53"/>
      <c r="G92" s="72"/>
      <c r="H92" s="8" t="s">
        <v>486</v>
      </c>
      <c r="I92" s="21" t="s">
        <v>485</v>
      </c>
      <c r="J92" s="62">
        <v>800000</v>
      </c>
      <c r="K92" s="72"/>
      <c r="M92" s="52"/>
    </row>
    <row r="93" spans="1:13" ht="23.25" customHeight="1" x14ac:dyDescent="0.15">
      <c r="A93" s="7"/>
      <c r="B93" s="7"/>
      <c r="C93" s="6" t="s">
        <v>54</v>
      </c>
      <c r="D93" s="53">
        <v>15000000</v>
      </c>
      <c r="E93" s="53">
        <v>100000</v>
      </c>
      <c r="F93" s="53">
        <f>SUM(J93)</f>
        <v>0</v>
      </c>
      <c r="G93" s="72">
        <f>F93-D93</f>
        <v>-15000000</v>
      </c>
      <c r="H93" s="13"/>
      <c r="I93" s="19"/>
      <c r="J93" s="60"/>
      <c r="K93" s="72"/>
      <c r="M93" s="52"/>
    </row>
    <row r="94" spans="1:13" ht="23.25" customHeight="1" x14ac:dyDescent="0.15">
      <c r="A94" s="7"/>
      <c r="B94" s="7"/>
      <c r="C94" s="54" t="s">
        <v>58</v>
      </c>
      <c r="D94" s="53">
        <v>1800000</v>
      </c>
      <c r="E94" s="53">
        <v>1410348</v>
      </c>
      <c r="F94" s="53">
        <f>SUM(J94)</f>
        <v>3200000</v>
      </c>
      <c r="G94" s="72">
        <f t="shared" ref="G94:G102" si="1">F94-D94</f>
        <v>1400000</v>
      </c>
      <c r="H94" s="8" t="s">
        <v>59</v>
      </c>
      <c r="I94" s="21" t="s">
        <v>652</v>
      </c>
      <c r="J94" s="62">
        <f>50000*8*4*2</f>
        <v>3200000</v>
      </c>
      <c r="K94" s="72"/>
      <c r="M94" s="52"/>
    </row>
    <row r="95" spans="1:13" ht="23.25" customHeight="1" x14ac:dyDescent="0.15">
      <c r="A95" s="7"/>
      <c r="B95" s="7"/>
      <c r="C95" s="6" t="s">
        <v>63</v>
      </c>
      <c r="D95" s="53">
        <v>2500000</v>
      </c>
      <c r="E95" s="53">
        <v>1121550</v>
      </c>
      <c r="F95" s="53">
        <f>SUM(J95)</f>
        <v>4000000</v>
      </c>
      <c r="G95" s="72">
        <f>F95-D95</f>
        <v>1500000</v>
      </c>
      <c r="H95" s="8" t="s">
        <v>64</v>
      </c>
      <c r="I95" s="21" t="s">
        <v>487</v>
      </c>
      <c r="J95" s="62">
        <f>2000000*2</f>
        <v>4000000</v>
      </c>
      <c r="K95" s="72"/>
      <c r="M95" s="52"/>
    </row>
    <row r="96" spans="1:13" ht="23.25" customHeight="1" x14ac:dyDescent="0.15">
      <c r="A96" s="7"/>
      <c r="B96" s="7"/>
      <c r="C96" s="54" t="s">
        <v>45</v>
      </c>
      <c r="D96" s="53">
        <v>3750000</v>
      </c>
      <c r="E96" s="53">
        <v>2099800</v>
      </c>
      <c r="F96" s="53">
        <f t="shared" ref="F96:F102" si="2">SUM(J96)</f>
        <v>4000000</v>
      </c>
      <c r="G96" s="72">
        <f t="shared" si="1"/>
        <v>250000</v>
      </c>
      <c r="H96" s="8" t="s">
        <v>60</v>
      </c>
      <c r="I96" s="21" t="s">
        <v>487</v>
      </c>
      <c r="J96" s="60">
        <f>2000000*2</f>
        <v>4000000</v>
      </c>
      <c r="K96" s="72"/>
      <c r="M96" s="52"/>
    </row>
    <row r="97" spans="1:13" ht="23.25" customHeight="1" x14ac:dyDescent="0.15">
      <c r="A97" s="7"/>
      <c r="B97" s="7"/>
      <c r="C97" s="54" t="s">
        <v>61</v>
      </c>
      <c r="D97" s="53">
        <v>4500000</v>
      </c>
      <c r="E97" s="53">
        <v>3764905</v>
      </c>
      <c r="F97" s="53">
        <f t="shared" si="2"/>
        <v>1500000</v>
      </c>
      <c r="G97" s="72">
        <f t="shared" si="1"/>
        <v>-3000000</v>
      </c>
      <c r="H97" s="8" t="s">
        <v>62</v>
      </c>
      <c r="I97" s="21"/>
      <c r="J97" s="62">
        <v>1500000</v>
      </c>
      <c r="K97" s="72"/>
      <c r="M97" s="52"/>
    </row>
    <row r="98" spans="1:13" ht="23.25" customHeight="1" x14ac:dyDescent="0.15">
      <c r="A98" s="7"/>
      <c r="B98" s="7"/>
      <c r="C98" s="18" t="s">
        <v>35</v>
      </c>
      <c r="D98" s="69">
        <v>2100000</v>
      </c>
      <c r="E98" s="69">
        <v>1629000</v>
      </c>
      <c r="F98" s="69">
        <f>SUM(J98:J99)</f>
        <v>5720000</v>
      </c>
      <c r="G98" s="73">
        <f t="shared" si="1"/>
        <v>3620000</v>
      </c>
      <c r="H98" s="15" t="s">
        <v>473</v>
      </c>
      <c r="I98" s="27" t="s">
        <v>474</v>
      </c>
      <c r="J98" s="63">
        <f>660000*2</f>
        <v>1320000</v>
      </c>
      <c r="K98" s="73"/>
      <c r="M98" s="52"/>
    </row>
    <row r="99" spans="1:13" ht="23.25" customHeight="1" x14ac:dyDescent="0.15">
      <c r="A99" s="7"/>
      <c r="B99" s="7"/>
      <c r="C99" s="6"/>
      <c r="D99" s="53"/>
      <c r="E99" s="53"/>
      <c r="F99" s="53"/>
      <c r="G99" s="72"/>
      <c r="H99" s="8" t="s">
        <v>193</v>
      </c>
      <c r="I99" s="21"/>
      <c r="J99" s="62">
        <v>4400000</v>
      </c>
      <c r="K99" s="72"/>
      <c r="M99" s="52"/>
    </row>
    <row r="100" spans="1:13" ht="23.25" customHeight="1" x14ac:dyDescent="0.15">
      <c r="A100" s="7"/>
      <c r="B100" s="7"/>
      <c r="C100" s="12" t="s">
        <v>37</v>
      </c>
      <c r="D100" s="53">
        <v>0</v>
      </c>
      <c r="E100" s="53"/>
      <c r="F100" s="53">
        <f>SUM(J100)</f>
        <v>2000000</v>
      </c>
      <c r="G100" s="72">
        <f>F100-D100</f>
        <v>2000000</v>
      </c>
      <c r="H100" s="13" t="s">
        <v>38</v>
      </c>
      <c r="I100" s="19"/>
      <c r="J100" s="60">
        <v>2000000</v>
      </c>
      <c r="K100" s="72"/>
      <c r="M100" s="52"/>
    </row>
    <row r="101" spans="1:13" ht="23.25" customHeight="1" x14ac:dyDescent="0.15">
      <c r="A101" s="7"/>
      <c r="B101" s="7"/>
      <c r="C101" s="12" t="s">
        <v>65</v>
      </c>
      <c r="D101" s="53">
        <v>3000000</v>
      </c>
      <c r="E101" s="53">
        <v>0</v>
      </c>
      <c r="F101" s="53">
        <f t="shared" si="2"/>
        <v>0</v>
      </c>
      <c r="G101" s="72">
        <f t="shared" si="1"/>
        <v>-3000000</v>
      </c>
      <c r="H101" s="13"/>
      <c r="I101" s="19"/>
      <c r="J101" s="60"/>
      <c r="K101" s="72"/>
      <c r="M101" s="52"/>
    </row>
    <row r="102" spans="1:13" ht="23.25" customHeight="1" x14ac:dyDescent="0.15">
      <c r="A102" s="6"/>
      <c r="B102" s="6"/>
      <c r="C102" s="12" t="s">
        <v>67</v>
      </c>
      <c r="D102" s="53">
        <v>500000</v>
      </c>
      <c r="E102" s="53">
        <v>6000</v>
      </c>
      <c r="F102" s="53">
        <f t="shared" si="2"/>
        <v>2000000</v>
      </c>
      <c r="G102" s="72">
        <f t="shared" si="1"/>
        <v>1500000</v>
      </c>
      <c r="H102" s="13" t="s">
        <v>68</v>
      </c>
      <c r="I102" s="19" t="s">
        <v>215</v>
      </c>
      <c r="J102" s="60">
        <f>1000000*2</f>
        <v>2000000</v>
      </c>
      <c r="K102" s="72"/>
      <c r="M102" s="52"/>
    </row>
    <row r="103" spans="1:13" ht="19.5" customHeight="1" x14ac:dyDescent="0.15">
      <c r="A103" s="7" t="s">
        <v>51</v>
      </c>
      <c r="B103" s="7" t="s">
        <v>52</v>
      </c>
      <c r="C103" s="6"/>
      <c r="D103" s="53">
        <f>SUM(D104:D115)</f>
        <v>0</v>
      </c>
      <c r="E103" s="53">
        <f>SUM(E104:E115)</f>
        <v>0</v>
      </c>
      <c r="F103" s="53">
        <f>SUM(F104:F115)</f>
        <v>18103000</v>
      </c>
      <c r="G103" s="53">
        <f>SUM(G104:G115)</f>
        <v>18103000</v>
      </c>
      <c r="H103" s="13"/>
      <c r="I103" s="19"/>
      <c r="J103" s="60"/>
      <c r="K103" s="53"/>
      <c r="M103" s="52"/>
    </row>
    <row r="104" spans="1:13" ht="19.5" customHeight="1" x14ac:dyDescent="0.15">
      <c r="A104" s="7"/>
      <c r="B104" s="7" t="s">
        <v>488</v>
      </c>
      <c r="C104" s="18" t="s">
        <v>55</v>
      </c>
      <c r="D104" s="26">
        <v>0</v>
      </c>
      <c r="E104" s="26">
        <v>0</v>
      </c>
      <c r="F104" s="26">
        <f>SUM(J104:J106)</f>
        <v>3483000</v>
      </c>
      <c r="G104" s="75">
        <f>F104-D104</f>
        <v>3483000</v>
      </c>
      <c r="H104" s="15" t="s">
        <v>77</v>
      </c>
      <c r="I104" s="27" t="s">
        <v>490</v>
      </c>
      <c r="J104" s="63">
        <f>30000*27*3</f>
        <v>2430000</v>
      </c>
      <c r="K104" s="75"/>
      <c r="M104" s="52"/>
    </row>
    <row r="105" spans="1:13" ht="19.5" customHeight="1" x14ac:dyDescent="0.15">
      <c r="A105" s="7"/>
      <c r="B105" s="7"/>
      <c r="C105" s="7"/>
      <c r="D105" s="26"/>
      <c r="E105" s="26"/>
      <c r="F105" s="26"/>
      <c r="G105" s="75"/>
      <c r="H105" s="10" t="s">
        <v>78</v>
      </c>
      <c r="I105" s="20" t="s">
        <v>492</v>
      </c>
      <c r="J105" s="61">
        <f>10000*27*3</f>
        <v>810000</v>
      </c>
      <c r="K105" s="75"/>
      <c r="M105" s="52"/>
    </row>
    <row r="106" spans="1:13" ht="19.5" customHeight="1" x14ac:dyDescent="0.15">
      <c r="A106" s="7"/>
      <c r="B106" s="7"/>
      <c r="C106" s="6"/>
      <c r="D106" s="53"/>
      <c r="E106" s="53"/>
      <c r="F106" s="53"/>
      <c r="G106" s="72"/>
      <c r="H106" s="8" t="s">
        <v>262</v>
      </c>
      <c r="I106" s="21" t="s">
        <v>491</v>
      </c>
      <c r="J106" s="62">
        <f>3000*27*3</f>
        <v>243000</v>
      </c>
      <c r="K106" s="72"/>
      <c r="M106" s="52"/>
    </row>
    <row r="107" spans="1:13" ht="19.5" customHeight="1" x14ac:dyDescent="0.15">
      <c r="A107" s="7"/>
      <c r="B107" s="7"/>
      <c r="C107" s="6" t="s">
        <v>54</v>
      </c>
      <c r="D107" s="53">
        <v>0</v>
      </c>
      <c r="E107" s="53">
        <v>0</v>
      </c>
      <c r="F107" s="53">
        <f>SUM(J107)</f>
        <v>3000000</v>
      </c>
      <c r="G107" s="72">
        <f t="shared" ref="G107:G112" si="3">F107-D107</f>
        <v>3000000</v>
      </c>
      <c r="H107" s="13" t="s">
        <v>137</v>
      </c>
      <c r="I107" s="19" t="s">
        <v>489</v>
      </c>
      <c r="J107" s="60">
        <f>1000000*3</f>
        <v>3000000</v>
      </c>
      <c r="K107" s="72"/>
      <c r="M107" s="52"/>
    </row>
    <row r="108" spans="1:13" ht="19.5" customHeight="1" x14ac:dyDescent="0.15">
      <c r="A108" s="7"/>
      <c r="B108" s="7"/>
      <c r="C108" s="12" t="s">
        <v>58</v>
      </c>
      <c r="D108" s="53">
        <v>0</v>
      </c>
      <c r="E108" s="53">
        <v>0</v>
      </c>
      <c r="F108" s="53">
        <f>SUM(J108)</f>
        <v>600000</v>
      </c>
      <c r="G108" s="72">
        <f t="shared" si="3"/>
        <v>600000</v>
      </c>
      <c r="H108" s="13" t="s">
        <v>59</v>
      </c>
      <c r="I108" s="19" t="s">
        <v>653</v>
      </c>
      <c r="J108" s="60">
        <f>50000*4*3</f>
        <v>600000</v>
      </c>
      <c r="K108" s="72"/>
      <c r="M108" s="52"/>
    </row>
    <row r="109" spans="1:13" ht="19.5" customHeight="1" x14ac:dyDescent="0.15">
      <c r="A109" s="7"/>
      <c r="B109" s="7"/>
      <c r="C109" s="12" t="s">
        <v>63</v>
      </c>
      <c r="D109" s="53">
        <v>0</v>
      </c>
      <c r="E109" s="53">
        <v>0</v>
      </c>
      <c r="F109" s="53">
        <f>SUM(J109)</f>
        <v>1000000</v>
      </c>
      <c r="G109" s="72">
        <f t="shared" si="3"/>
        <v>1000000</v>
      </c>
      <c r="H109" s="13" t="s">
        <v>64</v>
      </c>
      <c r="I109" s="19"/>
      <c r="J109" s="60">
        <v>1000000</v>
      </c>
      <c r="K109" s="72"/>
      <c r="M109" s="52"/>
    </row>
    <row r="110" spans="1:13" ht="19.5" customHeight="1" x14ac:dyDescent="0.15">
      <c r="A110" s="7"/>
      <c r="B110" s="7"/>
      <c r="C110" s="12" t="s">
        <v>45</v>
      </c>
      <c r="D110" s="53">
        <v>0</v>
      </c>
      <c r="E110" s="53">
        <v>0</v>
      </c>
      <c r="F110" s="53">
        <f>SUM(J110)</f>
        <v>2000000</v>
      </c>
      <c r="G110" s="72">
        <f t="shared" si="3"/>
        <v>2000000</v>
      </c>
      <c r="H110" s="13" t="s">
        <v>60</v>
      </c>
      <c r="I110" s="19"/>
      <c r="J110" s="60">
        <v>2000000</v>
      </c>
      <c r="K110" s="72"/>
      <c r="M110" s="52"/>
    </row>
    <row r="111" spans="1:13" ht="19.5" customHeight="1" x14ac:dyDescent="0.15">
      <c r="A111" s="7"/>
      <c r="B111" s="7"/>
      <c r="C111" s="12" t="s">
        <v>61</v>
      </c>
      <c r="D111" s="53">
        <v>0</v>
      </c>
      <c r="E111" s="53">
        <v>0</v>
      </c>
      <c r="F111" s="53">
        <f>SUM(J111)</f>
        <v>1000000</v>
      </c>
      <c r="G111" s="72">
        <f t="shared" si="3"/>
        <v>1000000</v>
      </c>
      <c r="H111" s="13" t="s">
        <v>493</v>
      </c>
      <c r="I111" s="19"/>
      <c r="J111" s="60">
        <v>1000000</v>
      </c>
      <c r="K111" s="72"/>
      <c r="M111" s="52"/>
    </row>
    <row r="112" spans="1:13" ht="19.5" customHeight="1" x14ac:dyDescent="0.15">
      <c r="A112" s="7"/>
      <c r="B112" s="7"/>
      <c r="C112" s="18" t="s">
        <v>35</v>
      </c>
      <c r="D112" s="26">
        <v>0</v>
      </c>
      <c r="E112" s="26">
        <v>0</v>
      </c>
      <c r="F112" s="26">
        <f>SUM(J112:J113)</f>
        <v>4020000</v>
      </c>
      <c r="G112" s="75">
        <f t="shared" si="3"/>
        <v>4020000</v>
      </c>
      <c r="H112" s="15" t="s">
        <v>473</v>
      </c>
      <c r="I112" s="27" t="s">
        <v>494</v>
      </c>
      <c r="J112" s="63">
        <f>360000*2</f>
        <v>720000</v>
      </c>
      <c r="K112" s="75"/>
      <c r="M112" s="52"/>
    </row>
    <row r="113" spans="1:13" ht="19.5" customHeight="1" x14ac:dyDescent="0.15">
      <c r="A113" s="7"/>
      <c r="B113" s="7"/>
      <c r="C113" s="6"/>
      <c r="D113" s="53"/>
      <c r="E113" s="53"/>
      <c r="F113" s="53"/>
      <c r="G113" s="72"/>
      <c r="H113" s="8" t="s">
        <v>193</v>
      </c>
      <c r="I113" s="21"/>
      <c r="J113" s="62">
        <v>3300000</v>
      </c>
      <c r="K113" s="72"/>
      <c r="M113" s="52"/>
    </row>
    <row r="114" spans="1:13" ht="19.5" customHeight="1" x14ac:dyDescent="0.15">
      <c r="A114" s="7"/>
      <c r="B114" s="7"/>
      <c r="C114" s="12" t="s">
        <v>37</v>
      </c>
      <c r="D114" s="53">
        <v>0</v>
      </c>
      <c r="E114" s="53">
        <v>0</v>
      </c>
      <c r="F114" s="53">
        <f>SUM(J114)</f>
        <v>2000000</v>
      </c>
      <c r="G114" s="72">
        <f>F114-D114</f>
        <v>2000000</v>
      </c>
      <c r="H114" s="13" t="s">
        <v>38</v>
      </c>
      <c r="I114" s="19"/>
      <c r="J114" s="60">
        <v>2000000</v>
      </c>
      <c r="K114" s="72"/>
      <c r="M114" s="52"/>
    </row>
    <row r="115" spans="1:13" ht="19.5" customHeight="1" x14ac:dyDescent="0.15">
      <c r="A115" s="7"/>
      <c r="B115" s="6"/>
      <c r="C115" s="12" t="s">
        <v>85</v>
      </c>
      <c r="D115" s="53">
        <v>0</v>
      </c>
      <c r="E115" s="53">
        <v>0</v>
      </c>
      <c r="F115" s="53">
        <f>SUM(J115)</f>
        <v>1000000</v>
      </c>
      <c r="G115" s="72">
        <f>F115-D115</f>
        <v>1000000</v>
      </c>
      <c r="H115" s="13" t="s">
        <v>68</v>
      </c>
      <c r="I115" s="19"/>
      <c r="J115" s="60">
        <f>1000000</f>
        <v>1000000</v>
      </c>
      <c r="K115" s="72"/>
      <c r="M115" s="52"/>
    </row>
    <row r="116" spans="1:13" ht="19.5" customHeight="1" x14ac:dyDescent="0.15">
      <c r="A116" s="7"/>
      <c r="B116" s="7" t="s">
        <v>495</v>
      </c>
      <c r="C116" s="6"/>
      <c r="D116" s="53">
        <f>SUM(D117:D128)</f>
        <v>0</v>
      </c>
      <c r="E116" s="53">
        <f>SUM(E117:E128)</f>
        <v>0</v>
      </c>
      <c r="F116" s="53">
        <f>SUM(F117:F128)</f>
        <v>23164000</v>
      </c>
      <c r="G116" s="53">
        <f>SUM(G117:G128)</f>
        <v>23164000</v>
      </c>
      <c r="H116" s="13"/>
      <c r="I116" s="19"/>
      <c r="J116" s="60"/>
      <c r="K116" s="53"/>
      <c r="M116" s="52"/>
    </row>
    <row r="117" spans="1:13" ht="19.5" customHeight="1" x14ac:dyDescent="0.15">
      <c r="A117" s="7"/>
      <c r="B117" s="7" t="s">
        <v>53</v>
      </c>
      <c r="C117" s="18" t="s">
        <v>55</v>
      </c>
      <c r="D117" s="26">
        <v>0</v>
      </c>
      <c r="E117" s="26">
        <v>0</v>
      </c>
      <c r="F117" s="26">
        <f>SUM(J117:J119)</f>
        <v>4644000</v>
      </c>
      <c r="G117" s="75">
        <f>F117-D117</f>
        <v>4644000</v>
      </c>
      <c r="H117" s="15" t="s">
        <v>77</v>
      </c>
      <c r="I117" s="27" t="s">
        <v>498</v>
      </c>
      <c r="J117" s="63">
        <f>30000*27*4</f>
        <v>3240000</v>
      </c>
      <c r="K117" s="75"/>
      <c r="M117" s="52"/>
    </row>
    <row r="118" spans="1:13" ht="19.5" customHeight="1" x14ac:dyDescent="0.15">
      <c r="A118" s="7"/>
      <c r="B118" s="7"/>
      <c r="C118" s="7"/>
      <c r="D118" s="26"/>
      <c r="E118" s="26"/>
      <c r="F118" s="26"/>
      <c r="G118" s="75"/>
      <c r="H118" s="10" t="s">
        <v>78</v>
      </c>
      <c r="I118" s="20" t="s">
        <v>499</v>
      </c>
      <c r="J118" s="61">
        <f>10000*27*4</f>
        <v>1080000</v>
      </c>
      <c r="K118" s="75"/>
      <c r="M118" s="52"/>
    </row>
    <row r="119" spans="1:13" ht="19.5" customHeight="1" x14ac:dyDescent="0.15">
      <c r="A119" s="7"/>
      <c r="B119" s="7"/>
      <c r="C119" s="6"/>
      <c r="D119" s="53"/>
      <c r="E119" s="53"/>
      <c r="F119" s="53"/>
      <c r="G119" s="72"/>
      <c r="H119" s="8" t="s">
        <v>497</v>
      </c>
      <c r="I119" s="21" t="s">
        <v>500</v>
      </c>
      <c r="J119" s="62">
        <f>3000*27*4</f>
        <v>324000</v>
      </c>
      <c r="K119" s="72"/>
      <c r="M119" s="52"/>
    </row>
    <row r="120" spans="1:13" ht="19.5" customHeight="1" x14ac:dyDescent="0.15">
      <c r="A120" s="7"/>
      <c r="B120" s="2"/>
      <c r="C120" s="12" t="s">
        <v>54</v>
      </c>
      <c r="D120" s="53">
        <v>0</v>
      </c>
      <c r="E120" s="53">
        <v>0</v>
      </c>
      <c r="F120" s="53">
        <f>SUM(J120)</f>
        <v>4000000</v>
      </c>
      <c r="G120" s="72">
        <f t="shared" ref="G120:G125" si="4">F120-D120</f>
        <v>4000000</v>
      </c>
      <c r="H120" s="13" t="s">
        <v>137</v>
      </c>
      <c r="I120" s="19" t="s">
        <v>496</v>
      </c>
      <c r="J120" s="60">
        <f>1000000*4</f>
        <v>4000000</v>
      </c>
      <c r="K120" s="72"/>
      <c r="M120" s="52"/>
    </row>
    <row r="121" spans="1:13" ht="19.5" customHeight="1" x14ac:dyDescent="0.15">
      <c r="A121" s="7"/>
      <c r="B121" s="7"/>
      <c r="C121" s="12" t="s">
        <v>58</v>
      </c>
      <c r="D121" s="53">
        <v>0</v>
      </c>
      <c r="E121" s="53">
        <v>0</v>
      </c>
      <c r="F121" s="53">
        <f>SUM(J121)</f>
        <v>800000</v>
      </c>
      <c r="G121" s="72">
        <f t="shared" si="4"/>
        <v>800000</v>
      </c>
      <c r="H121" s="13" t="s">
        <v>59</v>
      </c>
      <c r="I121" s="19" t="s">
        <v>654</v>
      </c>
      <c r="J121" s="60">
        <f>50000*4*4</f>
        <v>800000</v>
      </c>
      <c r="K121" s="72"/>
      <c r="M121" s="52"/>
    </row>
    <row r="122" spans="1:13" ht="19.5" customHeight="1" x14ac:dyDescent="0.15">
      <c r="A122" s="7"/>
      <c r="B122" s="7"/>
      <c r="C122" s="12" t="s">
        <v>63</v>
      </c>
      <c r="D122" s="53">
        <v>0</v>
      </c>
      <c r="E122" s="53">
        <v>0</v>
      </c>
      <c r="F122" s="53">
        <f>SUM(J122)</f>
        <v>2000000</v>
      </c>
      <c r="G122" s="72">
        <f t="shared" si="4"/>
        <v>2000000</v>
      </c>
      <c r="H122" s="13" t="s">
        <v>64</v>
      </c>
      <c r="I122" s="19"/>
      <c r="J122" s="60">
        <v>2000000</v>
      </c>
      <c r="K122" s="72"/>
      <c r="M122" s="52"/>
    </row>
    <row r="123" spans="1:13" ht="19.5" customHeight="1" x14ac:dyDescent="0.15">
      <c r="A123" s="7"/>
      <c r="B123" s="7"/>
      <c r="C123" s="12" t="s">
        <v>45</v>
      </c>
      <c r="D123" s="53">
        <v>0</v>
      </c>
      <c r="E123" s="53">
        <v>0</v>
      </c>
      <c r="F123" s="53">
        <f>SUM(J123)</f>
        <v>2000000</v>
      </c>
      <c r="G123" s="72">
        <f t="shared" si="4"/>
        <v>2000000</v>
      </c>
      <c r="H123" s="13" t="s">
        <v>60</v>
      </c>
      <c r="I123" s="19"/>
      <c r="J123" s="60">
        <v>2000000</v>
      </c>
      <c r="K123" s="72"/>
      <c r="M123" s="52"/>
    </row>
    <row r="124" spans="1:13" ht="19.5" customHeight="1" x14ac:dyDescent="0.15">
      <c r="A124" s="7"/>
      <c r="B124" s="7"/>
      <c r="C124" s="12" t="s">
        <v>61</v>
      </c>
      <c r="D124" s="53">
        <v>0</v>
      </c>
      <c r="E124" s="53">
        <v>0</v>
      </c>
      <c r="F124" s="53">
        <f>SUM(J124)</f>
        <v>1000000</v>
      </c>
      <c r="G124" s="72">
        <f t="shared" si="4"/>
        <v>1000000</v>
      </c>
      <c r="H124" s="13" t="s">
        <v>493</v>
      </c>
      <c r="I124" s="19"/>
      <c r="J124" s="60">
        <v>1000000</v>
      </c>
      <c r="K124" s="72"/>
      <c r="M124" s="52"/>
    </row>
    <row r="125" spans="1:13" ht="19.5" customHeight="1" x14ac:dyDescent="0.15">
      <c r="A125" s="7"/>
      <c r="B125" s="7"/>
      <c r="C125" s="18" t="s">
        <v>35</v>
      </c>
      <c r="D125" s="26">
        <v>0</v>
      </c>
      <c r="E125" s="26">
        <v>0</v>
      </c>
      <c r="F125" s="26">
        <f>SUM(J125:J126)</f>
        <v>5720000</v>
      </c>
      <c r="G125" s="75">
        <f t="shared" si="4"/>
        <v>5720000</v>
      </c>
      <c r="H125" s="15" t="s">
        <v>473</v>
      </c>
      <c r="I125" s="27" t="s">
        <v>474</v>
      </c>
      <c r="J125" s="63">
        <f>660000*2</f>
        <v>1320000</v>
      </c>
      <c r="K125" s="75"/>
      <c r="M125" s="52"/>
    </row>
    <row r="126" spans="1:13" ht="19.5" customHeight="1" x14ac:dyDescent="0.15">
      <c r="A126" s="7"/>
      <c r="B126" s="7"/>
      <c r="C126" s="6"/>
      <c r="D126" s="53"/>
      <c r="E126" s="53"/>
      <c r="F126" s="53"/>
      <c r="G126" s="72"/>
      <c r="H126" s="8" t="s">
        <v>193</v>
      </c>
      <c r="I126" s="21"/>
      <c r="J126" s="62">
        <v>4400000</v>
      </c>
      <c r="K126" s="72"/>
      <c r="M126" s="52"/>
    </row>
    <row r="127" spans="1:13" ht="19.5" customHeight="1" x14ac:dyDescent="0.15">
      <c r="A127" s="7"/>
      <c r="B127" s="7"/>
      <c r="C127" s="12" t="s">
        <v>37</v>
      </c>
      <c r="D127" s="53">
        <v>0</v>
      </c>
      <c r="E127" s="53">
        <v>0</v>
      </c>
      <c r="F127" s="53">
        <f>SUM(J127)</f>
        <v>2000000</v>
      </c>
      <c r="G127" s="72">
        <f>F127-D127</f>
        <v>2000000</v>
      </c>
      <c r="H127" s="13" t="s">
        <v>38</v>
      </c>
      <c r="I127" s="19"/>
      <c r="J127" s="60">
        <v>2000000</v>
      </c>
      <c r="K127" s="72"/>
      <c r="M127" s="52"/>
    </row>
    <row r="128" spans="1:13" ht="19.5" customHeight="1" x14ac:dyDescent="0.15">
      <c r="A128" s="6"/>
      <c r="B128" s="6"/>
      <c r="C128" s="12" t="s">
        <v>85</v>
      </c>
      <c r="D128" s="53">
        <v>0</v>
      </c>
      <c r="E128" s="53">
        <v>0</v>
      </c>
      <c r="F128" s="53">
        <f>SUM(J128)</f>
        <v>1000000</v>
      </c>
      <c r="G128" s="72">
        <f>F128-D128</f>
        <v>1000000</v>
      </c>
      <c r="H128" s="13" t="s">
        <v>68</v>
      </c>
      <c r="I128" s="19"/>
      <c r="J128" s="60">
        <f>1000000</f>
        <v>1000000</v>
      </c>
      <c r="K128" s="72"/>
      <c r="M128" s="52"/>
    </row>
    <row r="129" spans="1:13" ht="17.25" customHeight="1" x14ac:dyDescent="0.15">
      <c r="A129" s="7" t="s">
        <v>51</v>
      </c>
      <c r="B129" s="7" t="s">
        <v>259</v>
      </c>
      <c r="C129" s="6"/>
      <c r="D129" s="53">
        <f>SUM(D130:D144)</f>
        <v>0</v>
      </c>
      <c r="E129" s="53">
        <f>SUM(E130:E144)</f>
        <v>0</v>
      </c>
      <c r="F129" s="53">
        <f>SUM(F130:F144)</f>
        <v>53116000</v>
      </c>
      <c r="G129" s="53">
        <f>SUM(G130:G144)</f>
        <v>53116000</v>
      </c>
      <c r="H129" s="13"/>
      <c r="I129" s="19"/>
      <c r="J129" s="60"/>
      <c r="K129" s="53"/>
      <c r="M129" s="52"/>
    </row>
    <row r="130" spans="1:13" ht="17.25" customHeight="1" x14ac:dyDescent="0.15">
      <c r="A130" s="7"/>
      <c r="B130" s="7" t="s">
        <v>53</v>
      </c>
      <c r="C130" s="18" t="s">
        <v>55</v>
      </c>
      <c r="D130" s="26">
        <v>0</v>
      </c>
      <c r="E130" s="26">
        <v>0</v>
      </c>
      <c r="F130" s="26">
        <f>SUM(J130:J135)</f>
        <v>15996000</v>
      </c>
      <c r="G130" s="75">
        <f>F130-D130</f>
        <v>15996000</v>
      </c>
      <c r="H130" s="15" t="s">
        <v>77</v>
      </c>
      <c r="I130" s="27" t="s">
        <v>502</v>
      </c>
      <c r="J130" s="63">
        <f>30000*35*6</f>
        <v>6300000</v>
      </c>
      <c r="K130" s="75"/>
      <c r="M130" s="52"/>
    </row>
    <row r="131" spans="1:13" ht="17.25" customHeight="1" x14ac:dyDescent="0.15">
      <c r="A131" s="7"/>
      <c r="B131" s="7" t="s">
        <v>501</v>
      </c>
      <c r="C131" s="7"/>
      <c r="D131" s="26"/>
      <c r="E131" s="26"/>
      <c r="F131" s="26"/>
      <c r="G131" s="75"/>
      <c r="H131" s="10"/>
      <c r="I131" s="20" t="s">
        <v>503</v>
      </c>
      <c r="J131" s="61">
        <f>30000*27*6</f>
        <v>4860000</v>
      </c>
      <c r="K131" s="75"/>
      <c r="M131" s="52"/>
    </row>
    <row r="132" spans="1:13" ht="17.25" customHeight="1" x14ac:dyDescent="0.15">
      <c r="A132" s="7"/>
      <c r="B132" s="7"/>
      <c r="C132" s="7"/>
      <c r="D132" s="26"/>
      <c r="E132" s="26"/>
      <c r="F132" s="26"/>
      <c r="G132" s="75"/>
      <c r="H132" s="10" t="s">
        <v>78</v>
      </c>
      <c r="I132" s="20" t="s">
        <v>504</v>
      </c>
      <c r="J132" s="61">
        <f>10000*35*6</f>
        <v>2100000</v>
      </c>
      <c r="K132" s="75"/>
      <c r="M132" s="52"/>
    </row>
    <row r="133" spans="1:13" ht="17.25" customHeight="1" x14ac:dyDescent="0.15">
      <c r="A133" s="7"/>
      <c r="B133" s="7"/>
      <c r="C133" s="7"/>
      <c r="D133" s="26"/>
      <c r="E133" s="26"/>
      <c r="F133" s="26"/>
      <c r="G133" s="75"/>
      <c r="H133" s="10"/>
      <c r="I133" s="20" t="s">
        <v>505</v>
      </c>
      <c r="J133" s="61">
        <f>10000*27*6</f>
        <v>1620000</v>
      </c>
      <c r="K133" s="75"/>
      <c r="M133" s="52"/>
    </row>
    <row r="134" spans="1:13" ht="17.25" customHeight="1" x14ac:dyDescent="0.15">
      <c r="A134" s="7"/>
      <c r="B134" s="7"/>
      <c r="C134" s="7"/>
      <c r="D134" s="26"/>
      <c r="E134" s="26"/>
      <c r="F134" s="26"/>
      <c r="G134" s="75"/>
      <c r="H134" s="10" t="s">
        <v>262</v>
      </c>
      <c r="I134" s="20" t="s">
        <v>506</v>
      </c>
      <c r="J134" s="61">
        <f>3000*35*6</f>
        <v>630000</v>
      </c>
      <c r="K134" s="75"/>
      <c r="M134" s="52"/>
    </row>
    <row r="135" spans="1:13" ht="17.25" customHeight="1" x14ac:dyDescent="0.15">
      <c r="A135" s="7"/>
      <c r="B135" s="7"/>
      <c r="C135" s="6"/>
      <c r="D135" s="53"/>
      <c r="E135" s="53"/>
      <c r="F135" s="53"/>
      <c r="G135" s="72"/>
      <c r="H135" s="8"/>
      <c r="I135" s="21" t="s">
        <v>507</v>
      </c>
      <c r="J135" s="62">
        <f>3000*27*6</f>
        <v>486000</v>
      </c>
      <c r="K135" s="72"/>
      <c r="M135" s="52"/>
    </row>
    <row r="136" spans="1:13" ht="17.25" customHeight="1" x14ac:dyDescent="0.15">
      <c r="A136" s="7"/>
      <c r="B136" s="7"/>
      <c r="C136" s="12" t="s">
        <v>54</v>
      </c>
      <c r="D136" s="53">
        <v>0</v>
      </c>
      <c r="E136" s="53">
        <v>0</v>
      </c>
      <c r="F136" s="53">
        <f>SUM(J136)</f>
        <v>12000000</v>
      </c>
      <c r="G136" s="72">
        <f>F136-D136</f>
        <v>12000000</v>
      </c>
      <c r="H136" s="13" t="s">
        <v>137</v>
      </c>
      <c r="I136" s="19" t="s">
        <v>508</v>
      </c>
      <c r="J136" s="60">
        <f>12*1000000</f>
        <v>12000000</v>
      </c>
      <c r="K136" s="72"/>
      <c r="M136" s="52"/>
    </row>
    <row r="137" spans="1:13" ht="17.25" customHeight="1" x14ac:dyDescent="0.15">
      <c r="A137" s="7"/>
      <c r="B137" s="7"/>
      <c r="C137" s="12" t="s">
        <v>58</v>
      </c>
      <c r="D137" s="53">
        <v>0</v>
      </c>
      <c r="E137" s="53">
        <v>0</v>
      </c>
      <c r="F137" s="53">
        <f>SUM(J137)</f>
        <v>2400000</v>
      </c>
      <c r="G137" s="72">
        <f t="shared" ref="G137:G144" si="5">F137-D137</f>
        <v>2400000</v>
      </c>
      <c r="H137" s="13" t="s">
        <v>59</v>
      </c>
      <c r="I137" s="19" t="s">
        <v>655</v>
      </c>
      <c r="J137" s="60">
        <f>50000*4*6*2</f>
        <v>2400000</v>
      </c>
      <c r="K137" s="72"/>
      <c r="M137" s="52"/>
    </row>
    <row r="138" spans="1:13" ht="17.25" customHeight="1" x14ac:dyDescent="0.15">
      <c r="A138" s="7"/>
      <c r="B138" s="7"/>
      <c r="C138" s="12" t="s">
        <v>63</v>
      </c>
      <c r="D138" s="53">
        <v>0</v>
      </c>
      <c r="E138" s="53">
        <v>0</v>
      </c>
      <c r="F138" s="53">
        <f>SUM(J138)</f>
        <v>4000000</v>
      </c>
      <c r="G138" s="72">
        <f t="shared" si="5"/>
        <v>4000000</v>
      </c>
      <c r="H138" s="13" t="s">
        <v>64</v>
      </c>
      <c r="I138" s="19" t="s">
        <v>487</v>
      </c>
      <c r="J138" s="60">
        <v>4000000</v>
      </c>
      <c r="K138" s="72"/>
      <c r="M138" s="52"/>
    </row>
    <row r="139" spans="1:13" ht="17.25" customHeight="1" x14ac:dyDescent="0.15">
      <c r="A139" s="7"/>
      <c r="B139" s="7"/>
      <c r="C139" s="12" t="s">
        <v>45</v>
      </c>
      <c r="D139" s="53">
        <v>0</v>
      </c>
      <c r="E139" s="53">
        <v>0</v>
      </c>
      <c r="F139" s="53">
        <f>SUM(J139)</f>
        <v>4000000</v>
      </c>
      <c r="G139" s="72">
        <f t="shared" si="5"/>
        <v>4000000</v>
      </c>
      <c r="H139" s="13" t="s">
        <v>60</v>
      </c>
      <c r="I139" s="19" t="s">
        <v>487</v>
      </c>
      <c r="J139" s="60">
        <v>4000000</v>
      </c>
      <c r="K139" s="72"/>
      <c r="M139" s="52"/>
    </row>
    <row r="140" spans="1:13" ht="17.25" customHeight="1" x14ac:dyDescent="0.15">
      <c r="A140" s="7"/>
      <c r="B140" s="7"/>
      <c r="C140" s="12" t="s">
        <v>61</v>
      </c>
      <c r="D140" s="53">
        <v>0</v>
      </c>
      <c r="E140" s="53">
        <v>0</v>
      </c>
      <c r="F140" s="53">
        <f>SUM(J140)</f>
        <v>3000000</v>
      </c>
      <c r="G140" s="72">
        <f t="shared" si="5"/>
        <v>3000000</v>
      </c>
      <c r="H140" s="13" t="s">
        <v>493</v>
      </c>
      <c r="I140" s="19"/>
      <c r="J140" s="60">
        <v>3000000</v>
      </c>
      <c r="K140" s="72"/>
      <c r="M140" s="52"/>
    </row>
    <row r="141" spans="1:13" ht="17.25" customHeight="1" x14ac:dyDescent="0.15">
      <c r="A141" s="7"/>
      <c r="B141" s="7"/>
      <c r="C141" s="18" t="s">
        <v>35</v>
      </c>
      <c r="D141" s="26">
        <v>0</v>
      </c>
      <c r="E141" s="26">
        <v>0</v>
      </c>
      <c r="F141" s="26">
        <f>SUM(J141:J142)</f>
        <v>5720000</v>
      </c>
      <c r="G141" s="75">
        <f t="shared" si="5"/>
        <v>5720000</v>
      </c>
      <c r="H141" s="15" t="s">
        <v>473</v>
      </c>
      <c r="I141" s="27" t="s">
        <v>474</v>
      </c>
      <c r="J141" s="63">
        <f>660000*2</f>
        <v>1320000</v>
      </c>
      <c r="K141" s="75"/>
      <c r="M141" s="52"/>
    </row>
    <row r="142" spans="1:13" ht="17.25" customHeight="1" x14ac:dyDescent="0.15">
      <c r="A142" s="7"/>
      <c r="B142" s="7"/>
      <c r="C142" s="6"/>
      <c r="D142" s="53"/>
      <c r="E142" s="53"/>
      <c r="F142" s="53"/>
      <c r="G142" s="72"/>
      <c r="H142" s="8" t="s">
        <v>193</v>
      </c>
      <c r="I142" s="21" t="s">
        <v>509</v>
      </c>
      <c r="J142" s="62">
        <f>2200000*2</f>
        <v>4400000</v>
      </c>
      <c r="K142" s="72"/>
      <c r="M142" s="52"/>
    </row>
    <row r="143" spans="1:13" ht="17.25" customHeight="1" x14ac:dyDescent="0.15">
      <c r="A143" s="7"/>
      <c r="B143" s="7"/>
      <c r="C143" s="12" t="s">
        <v>37</v>
      </c>
      <c r="D143" s="53">
        <v>0</v>
      </c>
      <c r="E143" s="53">
        <v>0</v>
      </c>
      <c r="F143" s="53">
        <f>SUM(J143)</f>
        <v>4000000</v>
      </c>
      <c r="G143" s="72">
        <f t="shared" si="5"/>
        <v>4000000</v>
      </c>
      <c r="H143" s="13" t="s">
        <v>38</v>
      </c>
      <c r="I143" s="19" t="s">
        <v>487</v>
      </c>
      <c r="J143" s="60">
        <f>2000000*2</f>
        <v>4000000</v>
      </c>
      <c r="K143" s="72"/>
      <c r="M143" s="52"/>
    </row>
    <row r="144" spans="1:13" ht="17.25" customHeight="1" x14ac:dyDescent="0.15">
      <c r="A144" s="7"/>
      <c r="B144" s="6"/>
      <c r="C144" s="12" t="s">
        <v>85</v>
      </c>
      <c r="D144" s="53">
        <v>0</v>
      </c>
      <c r="E144" s="53">
        <v>0</v>
      </c>
      <c r="F144" s="53">
        <f>SUM(J144)</f>
        <v>2000000</v>
      </c>
      <c r="G144" s="72">
        <f t="shared" si="5"/>
        <v>2000000</v>
      </c>
      <c r="H144" s="13" t="s">
        <v>68</v>
      </c>
      <c r="I144" s="19" t="s">
        <v>215</v>
      </c>
      <c r="J144" s="60">
        <f>1000000*2</f>
        <v>2000000</v>
      </c>
      <c r="K144" s="72"/>
      <c r="M144" s="52"/>
    </row>
    <row r="145" spans="1:13" ht="17.25" customHeight="1" x14ac:dyDescent="0.15">
      <c r="A145" s="7"/>
      <c r="B145" s="7" t="s">
        <v>510</v>
      </c>
      <c r="C145" s="6"/>
      <c r="D145" s="53">
        <f>SUM(D146:D157)</f>
        <v>0</v>
      </c>
      <c r="E145" s="53">
        <f>SUM(E146:E157)</f>
        <v>0</v>
      </c>
      <c r="F145" s="53">
        <f>SUM(F146:F157)</f>
        <v>20835000</v>
      </c>
      <c r="G145" s="53">
        <f>SUM(G146:G157)</f>
        <v>20835000</v>
      </c>
      <c r="H145" s="13"/>
      <c r="I145" s="19"/>
      <c r="J145" s="60"/>
      <c r="K145" s="53"/>
      <c r="M145" s="52"/>
    </row>
    <row r="146" spans="1:13" ht="17.25" customHeight="1" x14ac:dyDescent="0.15">
      <c r="A146" s="7"/>
      <c r="B146" s="7" t="s">
        <v>53</v>
      </c>
      <c r="C146" s="18" t="s">
        <v>55</v>
      </c>
      <c r="D146" s="26">
        <v>0</v>
      </c>
      <c r="E146" s="26">
        <v>0</v>
      </c>
      <c r="F146" s="26">
        <f>SUM(J146:J148)</f>
        <v>4515000</v>
      </c>
      <c r="G146" s="75">
        <f>F146-D146</f>
        <v>4515000</v>
      </c>
      <c r="H146" s="15" t="s">
        <v>77</v>
      </c>
      <c r="I146" s="27" t="s">
        <v>511</v>
      </c>
      <c r="J146" s="63">
        <f>30000*35*3</f>
        <v>3150000</v>
      </c>
      <c r="K146" s="75"/>
      <c r="M146" s="52"/>
    </row>
    <row r="147" spans="1:13" ht="17.25" customHeight="1" x14ac:dyDescent="0.15">
      <c r="A147" s="7"/>
      <c r="B147" s="7"/>
      <c r="C147" s="7"/>
      <c r="D147" s="26"/>
      <c r="E147" s="26"/>
      <c r="F147" s="26"/>
      <c r="G147" s="75"/>
      <c r="H147" s="10" t="s">
        <v>78</v>
      </c>
      <c r="I147" s="20" t="s">
        <v>512</v>
      </c>
      <c r="J147" s="61">
        <f>10000*35*3</f>
        <v>1050000</v>
      </c>
      <c r="K147" s="75"/>
      <c r="M147" s="52"/>
    </row>
    <row r="148" spans="1:13" ht="17.25" customHeight="1" x14ac:dyDescent="0.15">
      <c r="A148" s="7"/>
      <c r="B148" s="7"/>
      <c r="C148" s="6"/>
      <c r="D148" s="53"/>
      <c r="E148" s="53"/>
      <c r="F148" s="53"/>
      <c r="G148" s="72"/>
      <c r="H148" s="8" t="s">
        <v>262</v>
      </c>
      <c r="I148" s="21" t="s">
        <v>513</v>
      </c>
      <c r="J148" s="62">
        <f>3000*35*3</f>
        <v>315000</v>
      </c>
      <c r="K148" s="72"/>
      <c r="M148" s="52"/>
    </row>
    <row r="149" spans="1:13" ht="17.25" customHeight="1" x14ac:dyDescent="0.15">
      <c r="A149" s="7"/>
      <c r="B149" s="7"/>
      <c r="C149" s="12" t="s">
        <v>54</v>
      </c>
      <c r="D149" s="53">
        <v>0</v>
      </c>
      <c r="E149" s="53">
        <v>0</v>
      </c>
      <c r="F149" s="53">
        <f>SUM(J149)</f>
        <v>3000000</v>
      </c>
      <c r="G149" s="72">
        <f>F149-D149</f>
        <v>3000000</v>
      </c>
      <c r="H149" s="13" t="s">
        <v>137</v>
      </c>
      <c r="I149" s="19" t="s">
        <v>489</v>
      </c>
      <c r="J149" s="60">
        <f>1000000*3</f>
        <v>3000000</v>
      </c>
      <c r="K149" s="72"/>
      <c r="M149" s="52"/>
    </row>
    <row r="150" spans="1:13" ht="17.25" customHeight="1" x14ac:dyDescent="0.15">
      <c r="A150" s="7"/>
      <c r="B150" s="7"/>
      <c r="C150" s="12" t="s">
        <v>58</v>
      </c>
      <c r="D150" s="53">
        <v>0</v>
      </c>
      <c r="E150" s="53">
        <v>0</v>
      </c>
      <c r="F150" s="53">
        <f>SUM(J150)</f>
        <v>600000</v>
      </c>
      <c r="G150" s="72">
        <f>F150-D150</f>
        <v>600000</v>
      </c>
      <c r="H150" s="13" t="s">
        <v>59</v>
      </c>
      <c r="I150" s="19" t="s">
        <v>653</v>
      </c>
      <c r="J150" s="60">
        <f>50000*4*3</f>
        <v>600000</v>
      </c>
      <c r="K150" s="72"/>
      <c r="M150" s="52"/>
    </row>
    <row r="151" spans="1:13" ht="17.25" customHeight="1" x14ac:dyDescent="0.15">
      <c r="A151" s="7"/>
      <c r="B151" s="7"/>
      <c r="C151" s="12" t="s">
        <v>63</v>
      </c>
      <c r="D151" s="53">
        <v>0</v>
      </c>
      <c r="E151" s="53">
        <v>0</v>
      </c>
      <c r="F151" s="53">
        <f>SUM(J151)</f>
        <v>1500000</v>
      </c>
      <c r="G151" s="72">
        <f t="shared" ref="G151:G157" si="6">F151-D151</f>
        <v>1500000</v>
      </c>
      <c r="H151" s="13" t="s">
        <v>64</v>
      </c>
      <c r="I151" s="19"/>
      <c r="J151" s="60">
        <v>1500000</v>
      </c>
      <c r="K151" s="72"/>
      <c r="M151" s="52"/>
    </row>
    <row r="152" spans="1:13" ht="17.25" customHeight="1" x14ac:dyDescent="0.15">
      <c r="A152" s="7"/>
      <c r="B152" s="7"/>
      <c r="C152" s="12" t="s">
        <v>45</v>
      </c>
      <c r="D152" s="53">
        <v>0</v>
      </c>
      <c r="E152" s="53">
        <v>0</v>
      </c>
      <c r="F152" s="53">
        <f>SUM(J152)</f>
        <v>1500000</v>
      </c>
      <c r="G152" s="72">
        <f t="shared" si="6"/>
        <v>1500000</v>
      </c>
      <c r="H152" s="13" t="s">
        <v>60</v>
      </c>
      <c r="I152" s="19"/>
      <c r="J152" s="60">
        <v>1500000</v>
      </c>
      <c r="K152" s="72"/>
      <c r="M152" s="52"/>
    </row>
    <row r="153" spans="1:13" ht="17.25" customHeight="1" x14ac:dyDescent="0.15">
      <c r="A153" s="7"/>
      <c r="B153" s="7"/>
      <c r="C153" s="12" t="s">
        <v>61</v>
      </c>
      <c r="D153" s="53">
        <v>0</v>
      </c>
      <c r="E153" s="53">
        <v>0</v>
      </c>
      <c r="F153" s="53">
        <f>SUM(J153)</f>
        <v>1000000</v>
      </c>
      <c r="G153" s="75">
        <f t="shared" si="6"/>
        <v>1000000</v>
      </c>
      <c r="H153" s="13" t="s">
        <v>493</v>
      </c>
      <c r="I153" s="19"/>
      <c r="J153" s="60">
        <v>1000000</v>
      </c>
      <c r="K153" s="75"/>
      <c r="M153" s="52"/>
    </row>
    <row r="154" spans="1:13" ht="17.25" customHeight="1" x14ac:dyDescent="0.15">
      <c r="A154" s="7"/>
      <c r="B154" s="7"/>
      <c r="C154" s="18" t="s">
        <v>35</v>
      </c>
      <c r="D154" s="26">
        <v>0</v>
      </c>
      <c r="E154" s="26">
        <v>0</v>
      </c>
      <c r="F154" s="69">
        <f>SUM(J154:J155)</f>
        <v>5720000</v>
      </c>
      <c r="G154" s="73">
        <f t="shared" si="6"/>
        <v>5720000</v>
      </c>
      <c r="H154" s="15" t="s">
        <v>473</v>
      </c>
      <c r="I154" s="27" t="s">
        <v>474</v>
      </c>
      <c r="J154" s="63">
        <f>660000*2</f>
        <v>1320000</v>
      </c>
      <c r="K154" s="73"/>
      <c r="M154" s="52"/>
    </row>
    <row r="155" spans="1:13" ht="17.25" customHeight="1" x14ac:dyDescent="0.15">
      <c r="A155" s="7"/>
      <c r="B155" s="7"/>
      <c r="C155" s="6"/>
      <c r="D155" s="53"/>
      <c r="E155" s="53"/>
      <c r="F155" s="53"/>
      <c r="G155" s="72"/>
      <c r="H155" s="8" t="s">
        <v>193</v>
      </c>
      <c r="I155" s="21"/>
      <c r="J155" s="62">
        <v>4400000</v>
      </c>
      <c r="K155" s="72"/>
      <c r="M155" s="52"/>
    </row>
    <row r="156" spans="1:13" ht="17.25" customHeight="1" x14ac:dyDescent="0.15">
      <c r="A156" s="7"/>
      <c r="B156" s="7"/>
      <c r="C156" s="12" t="s">
        <v>37</v>
      </c>
      <c r="D156" s="53">
        <v>0</v>
      </c>
      <c r="E156" s="53">
        <v>0</v>
      </c>
      <c r="F156" s="53">
        <f>SUM(J156)</f>
        <v>2000000</v>
      </c>
      <c r="G156" s="72">
        <f t="shared" si="6"/>
        <v>2000000</v>
      </c>
      <c r="H156" s="13" t="s">
        <v>38</v>
      </c>
      <c r="I156" s="19"/>
      <c r="J156" s="60">
        <v>2000000</v>
      </c>
      <c r="K156" s="72"/>
      <c r="M156" s="52"/>
    </row>
    <row r="157" spans="1:13" ht="17.25" customHeight="1" x14ac:dyDescent="0.15">
      <c r="A157" s="6"/>
      <c r="B157" s="6"/>
      <c r="C157" s="12" t="s">
        <v>85</v>
      </c>
      <c r="D157" s="53">
        <v>0</v>
      </c>
      <c r="E157" s="53">
        <v>0</v>
      </c>
      <c r="F157" s="53">
        <f>SUM(J157)</f>
        <v>1000000</v>
      </c>
      <c r="G157" s="72">
        <f t="shared" si="6"/>
        <v>1000000</v>
      </c>
      <c r="H157" s="13" t="s">
        <v>86</v>
      </c>
      <c r="I157" s="19"/>
      <c r="J157" s="60">
        <v>1000000</v>
      </c>
      <c r="K157" s="72"/>
      <c r="M157" s="52"/>
    </row>
    <row r="158" spans="1:13" s="22" customFormat="1" ht="17.25" customHeight="1" x14ac:dyDescent="0.15">
      <c r="A158" s="7" t="s">
        <v>51</v>
      </c>
      <c r="B158" s="7" t="s">
        <v>336</v>
      </c>
      <c r="C158" s="6"/>
      <c r="D158" s="53">
        <v>35290000</v>
      </c>
      <c r="E158" s="51">
        <f>SUM(E159:E186)</f>
        <v>41046832</v>
      </c>
      <c r="F158" s="51">
        <f>SUM(F159:F186)</f>
        <v>77119000</v>
      </c>
      <c r="G158" s="74">
        <f>F158-D158</f>
        <v>41829000</v>
      </c>
      <c r="H158" s="13"/>
      <c r="I158" s="14"/>
      <c r="J158" s="58"/>
      <c r="K158" s="74"/>
      <c r="L158" s="1"/>
      <c r="M158" s="52"/>
    </row>
    <row r="159" spans="1:13" s="22" customFormat="1" ht="17.25" customHeight="1" x14ac:dyDescent="0.15">
      <c r="A159" s="7"/>
      <c r="B159" s="7" t="s">
        <v>90</v>
      </c>
      <c r="C159" s="7" t="s">
        <v>71</v>
      </c>
      <c r="D159" s="26">
        <v>8460000</v>
      </c>
      <c r="E159" s="26">
        <v>8960000</v>
      </c>
      <c r="F159" s="26">
        <f>SUM(J159:J165)</f>
        <v>10885000</v>
      </c>
      <c r="G159" s="75">
        <f>F159-D159</f>
        <v>2425000</v>
      </c>
      <c r="H159" s="10" t="s">
        <v>74</v>
      </c>
      <c r="I159" s="11" t="s">
        <v>515</v>
      </c>
      <c r="J159" s="57">
        <v>3000000</v>
      </c>
      <c r="K159" s="75"/>
      <c r="L159" s="1"/>
      <c r="M159" s="52"/>
    </row>
    <row r="160" spans="1:13" s="22" customFormat="1" ht="17.25" customHeight="1" x14ac:dyDescent="0.15">
      <c r="A160" s="7"/>
      <c r="B160" s="7"/>
      <c r="C160" s="7"/>
      <c r="D160" s="26"/>
      <c r="E160" s="26"/>
      <c r="F160" s="26"/>
      <c r="G160" s="75"/>
      <c r="H160" s="10"/>
      <c r="I160" s="11" t="s">
        <v>514</v>
      </c>
      <c r="J160" s="57">
        <v>2000000</v>
      </c>
      <c r="K160" s="75"/>
      <c r="L160" s="1"/>
      <c r="M160" s="52"/>
    </row>
    <row r="161" spans="1:13" s="22" customFormat="1" ht="17.25" customHeight="1" x14ac:dyDescent="0.15">
      <c r="A161" s="7"/>
      <c r="B161" s="7"/>
      <c r="C161" s="7"/>
      <c r="D161" s="26"/>
      <c r="E161" s="26"/>
      <c r="F161" s="26"/>
      <c r="G161" s="75"/>
      <c r="H161" s="10" t="s">
        <v>91</v>
      </c>
      <c r="I161" s="11" t="s">
        <v>516</v>
      </c>
      <c r="J161" s="57">
        <f>110000*10</f>
        <v>1100000</v>
      </c>
      <c r="K161" s="75"/>
      <c r="L161" s="1"/>
      <c r="M161" s="52"/>
    </row>
    <row r="162" spans="1:13" s="22" customFormat="1" ht="17.25" customHeight="1" x14ac:dyDescent="0.15">
      <c r="A162" s="7"/>
      <c r="B162" s="7"/>
      <c r="C162" s="7"/>
      <c r="D162" s="26"/>
      <c r="E162" s="26"/>
      <c r="F162" s="26"/>
      <c r="G162" s="75"/>
      <c r="H162" s="10"/>
      <c r="I162" s="11" t="s">
        <v>517</v>
      </c>
      <c r="J162" s="57">
        <f>93500*10</f>
        <v>935000</v>
      </c>
      <c r="K162" s="75"/>
      <c r="L162" s="1"/>
      <c r="M162" s="52"/>
    </row>
    <row r="163" spans="1:13" s="22" customFormat="1" ht="17.25" customHeight="1" x14ac:dyDescent="0.15">
      <c r="A163" s="7"/>
      <c r="B163" s="7"/>
      <c r="C163" s="7"/>
      <c r="D163" s="26"/>
      <c r="E163" s="26"/>
      <c r="F163" s="26"/>
      <c r="G163" s="75"/>
      <c r="H163" s="10"/>
      <c r="I163" s="11" t="s">
        <v>518</v>
      </c>
      <c r="J163" s="57">
        <f>77000*20</f>
        <v>1540000</v>
      </c>
      <c r="K163" s="75"/>
      <c r="L163" s="1"/>
      <c r="M163" s="52"/>
    </row>
    <row r="164" spans="1:13" s="22" customFormat="1" ht="17.25" customHeight="1" x14ac:dyDescent="0.15">
      <c r="A164" s="7"/>
      <c r="B164" s="7"/>
      <c r="C164" s="7"/>
      <c r="D164" s="26"/>
      <c r="E164" s="26"/>
      <c r="F164" s="26"/>
      <c r="G164" s="75"/>
      <c r="H164" s="10" t="s">
        <v>92</v>
      </c>
      <c r="I164" s="11" t="s">
        <v>519</v>
      </c>
      <c r="J164" s="57">
        <f>16500*120</f>
        <v>1980000</v>
      </c>
      <c r="K164" s="75"/>
      <c r="L164" s="1"/>
      <c r="M164" s="52"/>
    </row>
    <row r="165" spans="1:13" s="22" customFormat="1" ht="17.25" customHeight="1" x14ac:dyDescent="0.15">
      <c r="A165" s="7"/>
      <c r="B165" s="7"/>
      <c r="C165" s="6"/>
      <c r="D165" s="53"/>
      <c r="E165" s="53"/>
      <c r="F165" s="53"/>
      <c r="G165" s="72"/>
      <c r="H165" s="78" t="s">
        <v>520</v>
      </c>
      <c r="I165" s="9" t="s">
        <v>521</v>
      </c>
      <c r="J165" s="56">
        <f>165000*2</f>
        <v>330000</v>
      </c>
      <c r="K165" s="72"/>
      <c r="L165" s="1"/>
      <c r="M165" s="52"/>
    </row>
    <row r="166" spans="1:13" s="22" customFormat="1" ht="17.25" customHeight="1" x14ac:dyDescent="0.15">
      <c r="A166" s="7"/>
      <c r="B166" s="7"/>
      <c r="C166" s="7" t="s">
        <v>55</v>
      </c>
      <c r="D166" s="26">
        <v>8330000</v>
      </c>
      <c r="E166" s="26">
        <v>6447210</v>
      </c>
      <c r="F166" s="26">
        <f>SUM(J166:J171)</f>
        <v>10315000</v>
      </c>
      <c r="G166" s="75">
        <f>F166-D166</f>
        <v>1985000</v>
      </c>
      <c r="H166" s="10" t="s">
        <v>77</v>
      </c>
      <c r="I166" s="11" t="s">
        <v>195</v>
      </c>
      <c r="J166" s="57">
        <f>30000*15*7</f>
        <v>3150000</v>
      </c>
      <c r="K166" s="75"/>
      <c r="L166" s="1"/>
      <c r="M166" s="52"/>
    </row>
    <row r="167" spans="1:13" s="22" customFormat="1" ht="17.25" customHeight="1" x14ac:dyDescent="0.15">
      <c r="A167" s="7"/>
      <c r="B167" s="7"/>
      <c r="C167" s="7"/>
      <c r="D167" s="26"/>
      <c r="E167" s="26"/>
      <c r="F167" s="26"/>
      <c r="G167" s="75"/>
      <c r="H167" s="10" t="s">
        <v>78</v>
      </c>
      <c r="I167" s="11" t="s">
        <v>196</v>
      </c>
      <c r="J167" s="57">
        <f>15000*15*7</f>
        <v>1575000</v>
      </c>
      <c r="K167" s="75"/>
      <c r="L167" s="1"/>
      <c r="M167" s="52"/>
    </row>
    <row r="168" spans="1:13" s="22" customFormat="1" ht="17.25" customHeight="1" x14ac:dyDescent="0.15">
      <c r="A168" s="7"/>
      <c r="B168" s="7"/>
      <c r="C168" s="7"/>
      <c r="D168" s="26"/>
      <c r="E168" s="26"/>
      <c r="F168" s="26"/>
      <c r="G168" s="75"/>
      <c r="H168" s="10" t="s">
        <v>56</v>
      </c>
      <c r="I168" s="11" t="s">
        <v>522</v>
      </c>
      <c r="J168" s="57">
        <f>150000*15</f>
        <v>2250000</v>
      </c>
      <c r="K168" s="75"/>
      <c r="L168" s="1"/>
      <c r="M168" s="52"/>
    </row>
    <row r="169" spans="1:13" s="22" customFormat="1" ht="17.25" customHeight="1" x14ac:dyDescent="0.15">
      <c r="A169" s="7"/>
      <c r="B169" s="7"/>
      <c r="C169" s="7"/>
      <c r="D169" s="26"/>
      <c r="E169" s="26"/>
      <c r="F169" s="26"/>
      <c r="G169" s="75"/>
      <c r="H169" s="10" t="s">
        <v>57</v>
      </c>
      <c r="I169" s="11" t="s">
        <v>656</v>
      </c>
      <c r="J169" s="57">
        <f>40000*8*7</f>
        <v>2240000</v>
      </c>
      <c r="K169" s="75"/>
      <c r="L169" s="1"/>
      <c r="M169" s="52"/>
    </row>
    <row r="170" spans="1:13" s="22" customFormat="1" ht="17.25" customHeight="1" x14ac:dyDescent="0.15">
      <c r="A170" s="7"/>
      <c r="B170" s="7"/>
      <c r="C170" s="7"/>
      <c r="D170" s="26"/>
      <c r="E170" s="26"/>
      <c r="F170" s="26"/>
      <c r="G170" s="75"/>
      <c r="H170" s="10" t="s">
        <v>456</v>
      </c>
      <c r="I170" s="11"/>
      <c r="J170" s="57">
        <v>800000</v>
      </c>
      <c r="K170" s="75"/>
      <c r="L170" s="1"/>
      <c r="M170" s="52"/>
    </row>
    <row r="171" spans="1:13" s="22" customFormat="1" ht="17.25" customHeight="1" x14ac:dyDescent="0.15">
      <c r="A171" s="7"/>
      <c r="B171" s="7"/>
      <c r="C171" s="6"/>
      <c r="D171" s="53"/>
      <c r="E171" s="53"/>
      <c r="F171" s="53"/>
      <c r="G171" s="72"/>
      <c r="H171" s="8" t="s">
        <v>93</v>
      </c>
      <c r="I171" s="9"/>
      <c r="J171" s="56">
        <v>300000</v>
      </c>
      <c r="K171" s="72"/>
      <c r="L171" s="1"/>
      <c r="M171" s="52"/>
    </row>
    <row r="172" spans="1:13" s="22" customFormat="1" ht="17.25" customHeight="1" x14ac:dyDescent="0.15">
      <c r="A172" s="7"/>
      <c r="B172" s="7"/>
      <c r="C172" s="7" t="s">
        <v>16</v>
      </c>
      <c r="D172" s="26">
        <v>2500000</v>
      </c>
      <c r="E172" s="26">
        <v>4559500</v>
      </c>
      <c r="F172" s="26">
        <f>SUM(J172:J174)</f>
        <v>5759000</v>
      </c>
      <c r="G172" s="75">
        <f>F172-D172</f>
        <v>3259000</v>
      </c>
      <c r="H172" s="10" t="s">
        <v>94</v>
      </c>
      <c r="I172" s="11" t="s">
        <v>523</v>
      </c>
      <c r="J172" s="57">
        <f>7080*700</f>
        <v>4956000</v>
      </c>
      <c r="K172" s="75"/>
      <c r="L172" s="1"/>
      <c r="M172" s="52"/>
    </row>
    <row r="173" spans="1:13" s="22" customFormat="1" ht="17.25" customHeight="1" x14ac:dyDescent="0.15">
      <c r="A173" s="7"/>
      <c r="B173" s="7"/>
      <c r="C173" s="7"/>
      <c r="D173" s="26"/>
      <c r="E173" s="26"/>
      <c r="F173" s="26"/>
      <c r="G173" s="75"/>
      <c r="H173" s="10" t="s">
        <v>524</v>
      </c>
      <c r="I173" s="11" t="s">
        <v>525</v>
      </c>
      <c r="J173" s="57">
        <f>2200*200</f>
        <v>440000</v>
      </c>
      <c r="K173" s="75"/>
      <c r="L173" s="1"/>
      <c r="M173" s="52"/>
    </row>
    <row r="174" spans="1:13" s="22" customFormat="1" ht="17.25" customHeight="1" x14ac:dyDescent="0.15">
      <c r="A174" s="7"/>
      <c r="B174" s="7"/>
      <c r="C174" s="6"/>
      <c r="D174" s="53"/>
      <c r="E174" s="53"/>
      <c r="F174" s="53"/>
      <c r="G174" s="72"/>
      <c r="H174" s="8" t="s">
        <v>526</v>
      </c>
      <c r="I174" s="9" t="s">
        <v>527</v>
      </c>
      <c r="J174" s="56">
        <f>3630*100</f>
        <v>363000</v>
      </c>
      <c r="K174" s="72"/>
      <c r="L174" s="1"/>
      <c r="M174" s="52"/>
    </row>
    <row r="175" spans="1:13" s="22" customFormat="1" ht="17.25" customHeight="1" x14ac:dyDescent="0.15">
      <c r="A175" s="87"/>
      <c r="B175" s="7"/>
      <c r="C175" s="6" t="s">
        <v>58</v>
      </c>
      <c r="D175" s="53">
        <v>1500000</v>
      </c>
      <c r="E175" s="53">
        <v>2106900</v>
      </c>
      <c r="F175" s="53">
        <f>J175</f>
        <v>3500000</v>
      </c>
      <c r="G175" s="72">
        <f>F175-D175</f>
        <v>2000000</v>
      </c>
      <c r="H175" s="8" t="s">
        <v>59</v>
      </c>
      <c r="I175" s="9" t="s">
        <v>657</v>
      </c>
      <c r="J175" s="56">
        <f>50000*10*7</f>
        <v>3500000</v>
      </c>
      <c r="K175" s="72"/>
      <c r="L175" s="1"/>
      <c r="M175" s="52"/>
    </row>
    <row r="176" spans="1:13" s="22" customFormat="1" ht="17.25" customHeight="1" x14ac:dyDescent="0.15">
      <c r="A176" s="87"/>
      <c r="B176" s="7"/>
      <c r="C176" s="6" t="s">
        <v>63</v>
      </c>
      <c r="D176" s="53">
        <v>1000000</v>
      </c>
      <c r="E176" s="53">
        <v>1111000</v>
      </c>
      <c r="F176" s="53">
        <f>J176</f>
        <v>3000000</v>
      </c>
      <c r="G176" s="72">
        <f t="shared" ref="G176:G185" si="7">F176-D176</f>
        <v>2000000</v>
      </c>
      <c r="H176" s="8" t="s">
        <v>80</v>
      </c>
      <c r="I176" s="9"/>
      <c r="J176" s="56">
        <v>3000000</v>
      </c>
      <c r="K176" s="72"/>
      <c r="L176" s="1"/>
      <c r="M176" s="52"/>
    </row>
    <row r="177" spans="1:13" s="22" customFormat="1" ht="17.25" customHeight="1" x14ac:dyDescent="0.15">
      <c r="A177" s="7"/>
      <c r="B177" s="7"/>
      <c r="C177" s="6" t="s">
        <v>45</v>
      </c>
      <c r="D177" s="53">
        <v>1000000</v>
      </c>
      <c r="E177" s="53">
        <v>1930000</v>
      </c>
      <c r="F177" s="53">
        <f>SUM(J177)</f>
        <v>3000000</v>
      </c>
      <c r="G177" s="72">
        <f>F177-D177</f>
        <v>2000000</v>
      </c>
      <c r="H177" s="8" t="s">
        <v>60</v>
      </c>
      <c r="I177" s="9"/>
      <c r="J177" s="56">
        <v>3000000</v>
      </c>
      <c r="K177" s="72"/>
      <c r="L177" s="1"/>
      <c r="M177" s="52"/>
    </row>
    <row r="178" spans="1:13" s="22" customFormat="1" ht="17.25" customHeight="1" x14ac:dyDescent="0.15">
      <c r="A178" s="87"/>
      <c r="B178" s="7"/>
      <c r="C178" s="12" t="s">
        <v>61</v>
      </c>
      <c r="D178" s="51">
        <v>1000000</v>
      </c>
      <c r="E178" s="51">
        <v>1788222</v>
      </c>
      <c r="F178" s="51">
        <f>SUM(J178)</f>
        <v>5000000</v>
      </c>
      <c r="G178" s="74">
        <f t="shared" si="7"/>
        <v>4000000</v>
      </c>
      <c r="H178" s="13" t="s">
        <v>81</v>
      </c>
      <c r="I178" s="14"/>
      <c r="J178" s="58">
        <v>5000000</v>
      </c>
      <c r="K178" s="74"/>
      <c r="L178" s="1"/>
      <c r="M178" s="52"/>
    </row>
    <row r="179" spans="1:13" s="22" customFormat="1" ht="17.25" customHeight="1" x14ac:dyDescent="0.15">
      <c r="A179" s="87"/>
      <c r="B179" s="7"/>
      <c r="C179" s="7" t="s">
        <v>35</v>
      </c>
      <c r="D179" s="26">
        <v>1500000</v>
      </c>
      <c r="E179" s="26">
        <v>882000</v>
      </c>
      <c r="F179" s="26">
        <f>SUM(J179:J181)</f>
        <v>11660000</v>
      </c>
      <c r="G179" s="75">
        <f>F179-D179</f>
        <v>10160000</v>
      </c>
      <c r="H179" s="10" t="s">
        <v>473</v>
      </c>
      <c r="I179" s="11" t="s">
        <v>509</v>
      </c>
      <c r="J179" s="57">
        <f>2200000*2</f>
        <v>4400000</v>
      </c>
      <c r="K179" s="75"/>
      <c r="L179" s="1"/>
      <c r="M179" s="52"/>
    </row>
    <row r="180" spans="1:13" s="22" customFormat="1" ht="17.25" customHeight="1" x14ac:dyDescent="0.15">
      <c r="A180" s="87"/>
      <c r="B180" s="7"/>
      <c r="C180" s="7"/>
      <c r="D180" s="26"/>
      <c r="E180" s="26"/>
      <c r="F180" s="26"/>
      <c r="G180" s="75"/>
      <c r="H180" s="10" t="s">
        <v>528</v>
      </c>
      <c r="I180" s="11" t="s">
        <v>529</v>
      </c>
      <c r="J180" s="57">
        <f>16500*40</f>
        <v>660000</v>
      </c>
      <c r="K180" s="75"/>
      <c r="L180" s="1"/>
      <c r="M180" s="52"/>
    </row>
    <row r="181" spans="1:13" s="22" customFormat="1" ht="17.25" customHeight="1" x14ac:dyDescent="0.15">
      <c r="A181" s="87"/>
      <c r="B181" s="7"/>
      <c r="C181" s="6"/>
      <c r="D181" s="53"/>
      <c r="E181" s="53"/>
      <c r="F181" s="53"/>
      <c r="G181" s="72"/>
      <c r="H181" s="8" t="s">
        <v>193</v>
      </c>
      <c r="I181" s="9"/>
      <c r="J181" s="56">
        <f>3300000*2</f>
        <v>6600000</v>
      </c>
      <c r="K181" s="72"/>
      <c r="L181" s="1"/>
      <c r="M181" s="52"/>
    </row>
    <row r="182" spans="1:13" s="22" customFormat="1" ht="17.25" customHeight="1" x14ac:dyDescent="0.15">
      <c r="A182" s="87"/>
      <c r="B182" s="7"/>
      <c r="C182" s="6" t="s">
        <v>37</v>
      </c>
      <c r="D182" s="53">
        <v>0</v>
      </c>
      <c r="E182" s="53"/>
      <c r="F182" s="53">
        <f>SUM(J182)</f>
        <v>2000000</v>
      </c>
      <c r="G182" s="72">
        <f>F182-D182</f>
        <v>2000000</v>
      </c>
      <c r="H182" s="8" t="s">
        <v>38</v>
      </c>
      <c r="I182" s="9"/>
      <c r="J182" s="56">
        <v>2000000</v>
      </c>
      <c r="K182" s="72"/>
      <c r="L182" s="1"/>
      <c r="M182" s="52"/>
    </row>
    <row r="183" spans="1:13" s="22" customFormat="1" ht="17.25" customHeight="1" x14ac:dyDescent="0.15">
      <c r="A183" s="7"/>
      <c r="B183" s="7"/>
      <c r="C183" s="12" t="s">
        <v>65</v>
      </c>
      <c r="D183" s="51">
        <v>1000000</v>
      </c>
      <c r="E183" s="51">
        <v>473000</v>
      </c>
      <c r="F183" s="51">
        <f>SUM(J183:J183)</f>
        <v>0</v>
      </c>
      <c r="G183" s="74">
        <f t="shared" si="7"/>
        <v>-1000000</v>
      </c>
      <c r="H183" s="13"/>
      <c r="I183" s="14"/>
      <c r="J183" s="58"/>
      <c r="K183" s="74"/>
      <c r="L183" s="1"/>
      <c r="M183" s="52"/>
    </row>
    <row r="184" spans="1:13" s="22" customFormat="1" ht="17.25" customHeight="1" x14ac:dyDescent="0.15">
      <c r="A184" s="7"/>
      <c r="B184" s="95"/>
      <c r="C184" s="7" t="s">
        <v>82</v>
      </c>
      <c r="D184" s="69">
        <v>4000000</v>
      </c>
      <c r="E184" s="69">
        <v>5500000</v>
      </c>
      <c r="F184" s="69">
        <f>SUM(J184:J184)</f>
        <v>5000000</v>
      </c>
      <c r="G184" s="73">
        <f t="shared" si="7"/>
        <v>1000000</v>
      </c>
      <c r="H184" s="15" t="s">
        <v>83</v>
      </c>
      <c r="I184" s="16"/>
      <c r="J184" s="59">
        <v>5000000</v>
      </c>
      <c r="K184" s="73"/>
      <c r="L184" s="1"/>
      <c r="M184" s="52"/>
    </row>
    <row r="185" spans="1:13" s="22" customFormat="1" ht="17.25" customHeight="1" x14ac:dyDescent="0.15">
      <c r="A185" s="7"/>
      <c r="B185" s="7"/>
      <c r="C185" s="18" t="s">
        <v>84</v>
      </c>
      <c r="D185" s="69">
        <v>0</v>
      </c>
      <c r="E185" s="69">
        <v>5100000</v>
      </c>
      <c r="F185" s="69">
        <f>SUM(J185:J185)</f>
        <v>15000000</v>
      </c>
      <c r="G185" s="73">
        <f t="shared" si="7"/>
        <v>15000000</v>
      </c>
      <c r="H185" s="15" t="s">
        <v>530</v>
      </c>
      <c r="I185" s="16" t="s">
        <v>531</v>
      </c>
      <c r="J185" s="59">
        <f>500000*30</f>
        <v>15000000</v>
      </c>
      <c r="K185" s="73"/>
      <c r="L185" s="1"/>
      <c r="M185" s="52"/>
    </row>
    <row r="186" spans="1:13" s="22" customFormat="1" ht="17.25" customHeight="1" x14ac:dyDescent="0.15">
      <c r="A186" s="6"/>
      <c r="B186" s="6"/>
      <c r="C186" s="12" t="s">
        <v>85</v>
      </c>
      <c r="D186" s="51">
        <v>5000000</v>
      </c>
      <c r="E186" s="51">
        <v>2189000</v>
      </c>
      <c r="F186" s="51">
        <f>SUM(J186)</f>
        <v>2000000</v>
      </c>
      <c r="G186" s="74">
        <f>F186-D186</f>
        <v>-3000000</v>
      </c>
      <c r="H186" s="13" t="s">
        <v>86</v>
      </c>
      <c r="I186" s="14"/>
      <c r="J186" s="58">
        <v>2000000</v>
      </c>
      <c r="K186" s="74"/>
      <c r="L186" s="1"/>
      <c r="M186" s="52"/>
    </row>
    <row r="187" spans="1:13" ht="16.5" customHeight="1" x14ac:dyDescent="0.15">
      <c r="A187" s="7" t="s">
        <v>51</v>
      </c>
      <c r="B187" s="7" t="s">
        <v>337</v>
      </c>
      <c r="C187" s="6"/>
      <c r="D187" s="53">
        <v>40700000</v>
      </c>
      <c r="E187" s="53">
        <f>SUM(E188:E217)</f>
        <v>43806476</v>
      </c>
      <c r="F187" s="53">
        <f>SUM(F188:F217)</f>
        <v>71533000</v>
      </c>
      <c r="G187" s="72">
        <f>F187-D187</f>
        <v>30833000</v>
      </c>
      <c r="H187" s="13"/>
      <c r="I187" s="14"/>
      <c r="J187" s="58"/>
      <c r="K187" s="72"/>
      <c r="M187" s="52"/>
    </row>
    <row r="188" spans="1:13" s="22" customFormat="1" ht="16.5" customHeight="1" x14ac:dyDescent="0.15">
      <c r="A188" s="7"/>
      <c r="B188" s="7" t="s">
        <v>70</v>
      </c>
      <c r="C188" s="7" t="s">
        <v>71</v>
      </c>
      <c r="D188" s="26">
        <v>15980000</v>
      </c>
      <c r="E188" s="26">
        <v>16970000</v>
      </c>
      <c r="F188" s="26">
        <f>SUM(J188:J196)</f>
        <v>19060000</v>
      </c>
      <c r="G188" s="75">
        <f>F188-D188</f>
        <v>3080000</v>
      </c>
      <c r="H188" s="10" t="s">
        <v>72</v>
      </c>
      <c r="I188" s="11" t="s">
        <v>73</v>
      </c>
      <c r="J188" s="57">
        <v>6000000</v>
      </c>
      <c r="K188" s="75"/>
      <c r="L188" s="1"/>
      <c r="M188" s="52"/>
    </row>
    <row r="189" spans="1:13" s="22" customFormat="1" ht="16.5" customHeight="1" x14ac:dyDescent="0.15">
      <c r="A189" s="7"/>
      <c r="B189" s="7"/>
      <c r="C189" s="7"/>
      <c r="D189" s="26"/>
      <c r="E189" s="26"/>
      <c r="F189" s="26"/>
      <c r="G189" s="75"/>
      <c r="H189" s="10" t="s">
        <v>74</v>
      </c>
      <c r="I189" s="11" t="s">
        <v>198</v>
      </c>
      <c r="J189" s="57">
        <v>5000000</v>
      </c>
      <c r="K189" s="75"/>
      <c r="L189" s="1"/>
      <c r="M189" s="52"/>
    </row>
    <row r="190" spans="1:13" s="22" customFormat="1" ht="16.5" customHeight="1" x14ac:dyDescent="0.15">
      <c r="A190" s="96"/>
      <c r="B190" s="7"/>
      <c r="C190" s="7"/>
      <c r="D190" s="26"/>
      <c r="E190" s="26"/>
      <c r="F190" s="26"/>
      <c r="G190" s="75"/>
      <c r="H190" s="10"/>
      <c r="I190" s="11" t="s">
        <v>199</v>
      </c>
      <c r="J190" s="57">
        <v>3000000</v>
      </c>
      <c r="K190" s="75"/>
      <c r="L190" s="1"/>
      <c r="M190" s="52"/>
    </row>
    <row r="191" spans="1:13" s="22" customFormat="1" ht="16.5" customHeight="1" x14ac:dyDescent="0.15">
      <c r="A191" s="7"/>
      <c r="B191" s="7"/>
      <c r="C191" s="7"/>
      <c r="D191" s="26"/>
      <c r="E191" s="26"/>
      <c r="F191" s="26"/>
      <c r="G191" s="75"/>
      <c r="H191" s="10" t="s">
        <v>75</v>
      </c>
      <c r="I191" s="11" t="s">
        <v>532</v>
      </c>
      <c r="J191" s="57">
        <f>220000+165000+110000</f>
        <v>495000</v>
      </c>
      <c r="K191" s="75"/>
      <c r="L191" s="1"/>
      <c r="M191" s="52"/>
    </row>
    <row r="192" spans="1:13" s="22" customFormat="1" ht="16.5" customHeight="1" x14ac:dyDescent="0.15">
      <c r="A192" s="96"/>
      <c r="B192" s="7"/>
      <c r="C192" s="7"/>
      <c r="D192" s="26"/>
      <c r="E192" s="26"/>
      <c r="F192" s="26"/>
      <c r="G192" s="75"/>
      <c r="H192" s="10" t="s">
        <v>76</v>
      </c>
      <c r="I192" s="11" t="s">
        <v>533</v>
      </c>
      <c r="J192" s="57">
        <f>110000*10</f>
        <v>1100000</v>
      </c>
      <c r="K192" s="75"/>
      <c r="L192" s="1"/>
      <c r="M192" s="52"/>
    </row>
    <row r="193" spans="1:13" s="22" customFormat="1" ht="16.5" customHeight="1" x14ac:dyDescent="0.15">
      <c r="A193" s="96"/>
      <c r="B193" s="7"/>
      <c r="C193" s="7"/>
      <c r="D193" s="26"/>
      <c r="E193" s="26"/>
      <c r="F193" s="26"/>
      <c r="G193" s="75"/>
      <c r="H193" s="10"/>
      <c r="I193" s="11" t="s">
        <v>534</v>
      </c>
      <c r="J193" s="57">
        <f>93500*10</f>
        <v>935000</v>
      </c>
      <c r="K193" s="75"/>
      <c r="L193" s="1"/>
      <c r="M193" s="52"/>
    </row>
    <row r="194" spans="1:13" s="22" customFormat="1" ht="16.5" customHeight="1" x14ac:dyDescent="0.15">
      <c r="A194" s="7"/>
      <c r="B194" s="7"/>
      <c r="C194" s="7"/>
      <c r="D194" s="26"/>
      <c r="E194" s="26"/>
      <c r="F194" s="26"/>
      <c r="G194" s="75"/>
      <c r="H194" s="10"/>
      <c r="I194" s="11" t="s">
        <v>535</v>
      </c>
      <c r="J194" s="57">
        <f>77000*20</f>
        <v>1540000</v>
      </c>
      <c r="K194" s="75"/>
      <c r="L194" s="1"/>
      <c r="M194" s="52"/>
    </row>
    <row r="195" spans="1:13" s="22" customFormat="1" ht="16.5" customHeight="1" x14ac:dyDescent="0.15">
      <c r="A195" s="7"/>
      <c r="B195" s="7"/>
      <c r="C195" s="7"/>
      <c r="D195" s="26"/>
      <c r="E195" s="26"/>
      <c r="F195" s="26"/>
      <c r="G195" s="75"/>
      <c r="H195" s="10" t="s">
        <v>536</v>
      </c>
      <c r="I195" s="11" t="s">
        <v>529</v>
      </c>
      <c r="J195" s="57">
        <f>16500*40</f>
        <v>660000</v>
      </c>
      <c r="K195" s="75"/>
      <c r="L195" s="1"/>
      <c r="M195" s="52"/>
    </row>
    <row r="196" spans="1:13" s="22" customFormat="1" ht="16.5" customHeight="1" x14ac:dyDescent="0.15">
      <c r="A196" s="7"/>
      <c r="B196" s="7"/>
      <c r="C196" s="6"/>
      <c r="D196" s="53"/>
      <c r="E196" s="53"/>
      <c r="F196" s="53"/>
      <c r="G196" s="72"/>
      <c r="H196" s="8" t="s">
        <v>520</v>
      </c>
      <c r="I196" s="9" t="s">
        <v>521</v>
      </c>
      <c r="J196" s="56">
        <f>165000*2</f>
        <v>330000</v>
      </c>
      <c r="K196" s="72"/>
      <c r="L196" s="1"/>
      <c r="M196" s="52"/>
    </row>
    <row r="197" spans="1:13" s="22" customFormat="1" ht="16.5" customHeight="1" x14ac:dyDescent="0.15">
      <c r="A197" s="7"/>
      <c r="B197" s="7"/>
      <c r="C197" s="7" t="s">
        <v>55</v>
      </c>
      <c r="D197" s="26">
        <v>6720000</v>
      </c>
      <c r="E197" s="26">
        <v>4870000</v>
      </c>
      <c r="F197" s="26">
        <f>SUM(J197:J202)</f>
        <v>7820000</v>
      </c>
      <c r="G197" s="75">
        <f>F197-D197</f>
        <v>1100000</v>
      </c>
      <c r="H197" s="10" t="s">
        <v>77</v>
      </c>
      <c r="I197" s="11" t="s">
        <v>200</v>
      </c>
      <c r="J197" s="57">
        <f>30000*15*6</f>
        <v>2700000</v>
      </c>
      <c r="K197" s="75"/>
      <c r="L197" s="1"/>
      <c r="M197" s="52"/>
    </row>
    <row r="198" spans="1:13" s="22" customFormat="1" ht="16.5" customHeight="1" x14ac:dyDescent="0.15">
      <c r="A198" s="7"/>
      <c r="B198" s="7"/>
      <c r="C198" s="7"/>
      <c r="D198" s="26"/>
      <c r="E198" s="26"/>
      <c r="F198" s="26"/>
      <c r="G198" s="75"/>
      <c r="H198" s="10" t="s">
        <v>78</v>
      </c>
      <c r="I198" s="11" t="s">
        <v>201</v>
      </c>
      <c r="J198" s="57">
        <f>15000*15*6</f>
        <v>1350000</v>
      </c>
      <c r="K198" s="75"/>
      <c r="L198" s="1"/>
      <c r="M198" s="52"/>
    </row>
    <row r="199" spans="1:13" s="22" customFormat="1" ht="16.5" customHeight="1" x14ac:dyDescent="0.15">
      <c r="A199" s="7"/>
      <c r="B199" s="7"/>
      <c r="C199" s="7"/>
      <c r="D199" s="26"/>
      <c r="E199" s="26"/>
      <c r="F199" s="26"/>
      <c r="G199" s="75"/>
      <c r="H199" s="10" t="s">
        <v>56</v>
      </c>
      <c r="I199" s="11" t="s">
        <v>197</v>
      </c>
      <c r="J199" s="57">
        <f>50000*15</f>
        <v>750000</v>
      </c>
      <c r="K199" s="75"/>
      <c r="L199" s="1"/>
      <c r="M199" s="52"/>
    </row>
    <row r="200" spans="1:13" s="22" customFormat="1" ht="16.5" customHeight="1" x14ac:dyDescent="0.15">
      <c r="A200" s="7"/>
      <c r="B200" s="7"/>
      <c r="C200" s="7"/>
      <c r="D200" s="26"/>
      <c r="E200" s="26"/>
      <c r="F200" s="26"/>
      <c r="G200" s="75"/>
      <c r="H200" s="10" t="s">
        <v>205</v>
      </c>
      <c r="I200" s="11" t="s">
        <v>202</v>
      </c>
      <c r="J200" s="57">
        <f>40000*8*6</f>
        <v>1920000</v>
      </c>
      <c r="K200" s="75"/>
      <c r="L200" s="1"/>
      <c r="M200" s="52"/>
    </row>
    <row r="201" spans="1:13" s="22" customFormat="1" ht="16.5" customHeight="1" x14ac:dyDescent="0.15">
      <c r="A201" s="7"/>
      <c r="B201" s="7"/>
      <c r="C201" s="7"/>
      <c r="D201" s="26"/>
      <c r="E201" s="26"/>
      <c r="F201" s="26"/>
      <c r="G201" s="75"/>
      <c r="H201" s="10" t="s">
        <v>456</v>
      </c>
      <c r="I201" s="11"/>
      <c r="J201" s="57">
        <v>800000</v>
      </c>
      <c r="K201" s="75"/>
      <c r="L201" s="1"/>
      <c r="M201" s="52"/>
    </row>
    <row r="202" spans="1:13" s="22" customFormat="1" ht="16.5" customHeight="1" x14ac:dyDescent="0.15">
      <c r="A202" s="7"/>
      <c r="B202" s="7"/>
      <c r="C202" s="6"/>
      <c r="D202" s="53"/>
      <c r="E202" s="53"/>
      <c r="F202" s="53"/>
      <c r="G202" s="72"/>
      <c r="H202" s="8" t="s">
        <v>93</v>
      </c>
      <c r="I202" s="9"/>
      <c r="J202" s="56">
        <v>300000</v>
      </c>
      <c r="K202" s="72"/>
      <c r="L202" s="1"/>
      <c r="M202" s="52"/>
    </row>
    <row r="203" spans="1:13" s="22" customFormat="1" ht="16.5" customHeight="1" x14ac:dyDescent="0.15">
      <c r="A203" s="7"/>
      <c r="B203" s="7"/>
      <c r="C203" s="7" t="s">
        <v>16</v>
      </c>
      <c r="D203" s="26">
        <v>2300000</v>
      </c>
      <c r="E203" s="26">
        <v>4118950</v>
      </c>
      <c r="F203" s="26">
        <f>SUM(J203:J205)</f>
        <v>5203000</v>
      </c>
      <c r="G203" s="75">
        <f>F203-D203</f>
        <v>2903000</v>
      </c>
      <c r="H203" s="10" t="s">
        <v>263</v>
      </c>
      <c r="I203" s="11" t="s">
        <v>537</v>
      </c>
      <c r="J203" s="57">
        <f>11000*400</f>
        <v>4400000</v>
      </c>
      <c r="K203" s="75"/>
      <c r="L203" s="1"/>
      <c r="M203" s="52"/>
    </row>
    <row r="204" spans="1:13" s="22" customFormat="1" ht="16.5" customHeight="1" x14ac:dyDescent="0.15">
      <c r="A204" s="7"/>
      <c r="B204" s="7"/>
      <c r="C204" s="7"/>
      <c r="D204" s="26"/>
      <c r="E204" s="26"/>
      <c r="F204" s="26"/>
      <c r="G204" s="75"/>
      <c r="H204" s="10" t="s">
        <v>524</v>
      </c>
      <c r="I204" s="11" t="s">
        <v>525</v>
      </c>
      <c r="J204" s="57">
        <f>2200*200</f>
        <v>440000</v>
      </c>
      <c r="K204" s="75"/>
      <c r="L204" s="1"/>
      <c r="M204" s="52"/>
    </row>
    <row r="205" spans="1:13" s="22" customFormat="1" ht="16.5" customHeight="1" x14ac:dyDescent="0.15">
      <c r="A205" s="7"/>
      <c r="B205" s="7"/>
      <c r="C205" s="6"/>
      <c r="D205" s="53"/>
      <c r="E205" s="53"/>
      <c r="F205" s="53"/>
      <c r="G205" s="72"/>
      <c r="H205" s="8" t="s">
        <v>526</v>
      </c>
      <c r="I205" s="9" t="s">
        <v>527</v>
      </c>
      <c r="J205" s="56">
        <f>3630*100</f>
        <v>363000</v>
      </c>
      <c r="K205" s="72"/>
      <c r="L205" s="1"/>
      <c r="M205" s="52"/>
    </row>
    <row r="206" spans="1:13" s="22" customFormat="1" ht="16.5" customHeight="1" x14ac:dyDescent="0.15">
      <c r="A206" s="7"/>
      <c r="B206" s="7"/>
      <c r="C206" s="6" t="s">
        <v>58</v>
      </c>
      <c r="D206" s="53">
        <v>1000000</v>
      </c>
      <c r="E206" s="53">
        <v>1680000</v>
      </c>
      <c r="F206" s="53">
        <f>SUM(J206)</f>
        <v>2400000</v>
      </c>
      <c r="G206" s="72">
        <f>F206-D206</f>
        <v>1400000</v>
      </c>
      <c r="H206" s="8" t="s">
        <v>59</v>
      </c>
      <c r="I206" s="9" t="s">
        <v>658</v>
      </c>
      <c r="J206" s="56">
        <f>40000*10*6</f>
        <v>2400000</v>
      </c>
      <c r="K206" s="72"/>
      <c r="L206" s="1"/>
      <c r="M206" s="52"/>
    </row>
    <row r="207" spans="1:13" s="22" customFormat="1" ht="16.5" customHeight="1" x14ac:dyDescent="0.15">
      <c r="A207" s="7"/>
      <c r="B207" s="7"/>
      <c r="C207" s="6" t="s">
        <v>63</v>
      </c>
      <c r="D207" s="53">
        <v>1000000</v>
      </c>
      <c r="E207" s="53">
        <v>909110</v>
      </c>
      <c r="F207" s="53">
        <f>SUM(J207)</f>
        <v>2000000</v>
      </c>
      <c r="G207" s="72">
        <f>F207-D207</f>
        <v>1000000</v>
      </c>
      <c r="H207" s="8" t="s">
        <v>80</v>
      </c>
      <c r="I207" s="9"/>
      <c r="J207" s="56">
        <v>2000000</v>
      </c>
      <c r="K207" s="72"/>
      <c r="L207" s="1"/>
      <c r="M207" s="52"/>
    </row>
    <row r="208" spans="1:13" s="22" customFormat="1" ht="16.5" customHeight="1" x14ac:dyDescent="0.15">
      <c r="A208" s="7"/>
      <c r="B208" s="7"/>
      <c r="C208" s="6" t="s">
        <v>45</v>
      </c>
      <c r="D208" s="53">
        <v>1000000</v>
      </c>
      <c r="E208" s="53">
        <v>315000</v>
      </c>
      <c r="F208" s="51">
        <f>SUM(J208)</f>
        <v>2000000</v>
      </c>
      <c r="G208" s="74">
        <f>F208-D208</f>
        <v>1000000</v>
      </c>
      <c r="H208" s="13" t="s">
        <v>60</v>
      </c>
      <c r="I208" s="14"/>
      <c r="J208" s="56">
        <v>2000000</v>
      </c>
      <c r="K208" s="74"/>
      <c r="L208" s="1"/>
      <c r="M208" s="52"/>
    </row>
    <row r="209" spans="1:13" s="22" customFormat="1" ht="16.5" customHeight="1" x14ac:dyDescent="0.15">
      <c r="A209" s="7"/>
      <c r="B209" s="7"/>
      <c r="C209" s="6" t="s">
        <v>61</v>
      </c>
      <c r="D209" s="53">
        <v>1000000</v>
      </c>
      <c r="E209" s="53">
        <v>830716</v>
      </c>
      <c r="F209" s="53">
        <f>SUM(J209)</f>
        <v>2000000</v>
      </c>
      <c r="G209" s="72">
        <f>F209-D209</f>
        <v>1000000</v>
      </c>
      <c r="H209" s="8" t="s">
        <v>81</v>
      </c>
      <c r="I209" s="9"/>
      <c r="J209" s="56">
        <v>2000000</v>
      </c>
      <c r="K209" s="72"/>
      <c r="L209" s="1"/>
      <c r="M209" s="52"/>
    </row>
    <row r="210" spans="1:13" s="22" customFormat="1" ht="16.5" customHeight="1" x14ac:dyDescent="0.15">
      <c r="A210" s="7"/>
      <c r="B210" s="7"/>
      <c r="C210" s="18" t="s">
        <v>35</v>
      </c>
      <c r="D210" s="69">
        <v>2200000</v>
      </c>
      <c r="E210" s="69">
        <v>2952000</v>
      </c>
      <c r="F210" s="69">
        <f>SUM(J210:J212)</f>
        <v>6050000</v>
      </c>
      <c r="G210" s="73">
        <f t="shared" ref="G210:G216" si="8">F210-D210</f>
        <v>3850000</v>
      </c>
      <c r="H210" s="15" t="s">
        <v>473</v>
      </c>
      <c r="I210" s="16" t="s">
        <v>474</v>
      </c>
      <c r="J210" s="59">
        <f>660000*2</f>
        <v>1320000</v>
      </c>
      <c r="K210" s="73"/>
      <c r="L210" s="1"/>
      <c r="M210" s="52"/>
    </row>
    <row r="211" spans="1:13" s="22" customFormat="1" ht="16.5" customHeight="1" x14ac:dyDescent="0.15">
      <c r="A211" s="7"/>
      <c r="B211" s="7"/>
      <c r="C211" s="7"/>
      <c r="D211" s="26"/>
      <c r="E211" s="26"/>
      <c r="F211" s="26"/>
      <c r="G211" s="75"/>
      <c r="H211" s="10" t="s">
        <v>528</v>
      </c>
      <c r="I211" s="11" t="s">
        <v>538</v>
      </c>
      <c r="J211" s="57">
        <f>16500*20</f>
        <v>330000</v>
      </c>
      <c r="K211" s="75"/>
      <c r="L211" s="1"/>
      <c r="M211" s="52"/>
    </row>
    <row r="212" spans="1:13" s="22" customFormat="1" ht="16.5" customHeight="1" x14ac:dyDescent="0.15">
      <c r="A212" s="7"/>
      <c r="B212" s="7"/>
      <c r="C212" s="6"/>
      <c r="D212" s="53"/>
      <c r="E212" s="53"/>
      <c r="F212" s="53"/>
      <c r="G212" s="72"/>
      <c r="H212" s="8" t="s">
        <v>193</v>
      </c>
      <c r="I212" s="9"/>
      <c r="J212" s="56">
        <v>4400000</v>
      </c>
      <c r="K212" s="72"/>
      <c r="L212" s="1"/>
      <c r="M212" s="52"/>
    </row>
    <row r="213" spans="1:13" s="22" customFormat="1" ht="16.5" customHeight="1" x14ac:dyDescent="0.15">
      <c r="A213" s="87"/>
      <c r="B213" s="7"/>
      <c r="C213" s="6" t="s">
        <v>37</v>
      </c>
      <c r="D213" s="53">
        <v>0</v>
      </c>
      <c r="E213" s="53"/>
      <c r="F213" s="53">
        <f>SUM(J213)</f>
        <v>3000000</v>
      </c>
      <c r="G213" s="72">
        <f>F213-D213</f>
        <v>3000000</v>
      </c>
      <c r="H213" s="8" t="s">
        <v>38</v>
      </c>
      <c r="I213" s="9"/>
      <c r="J213" s="56">
        <v>3000000</v>
      </c>
      <c r="K213" s="72"/>
      <c r="L213" s="1"/>
      <c r="M213" s="52"/>
    </row>
    <row r="214" spans="1:13" s="22" customFormat="1" ht="16.5" customHeight="1" x14ac:dyDescent="0.15">
      <c r="A214" s="7"/>
      <c r="B214" s="7"/>
      <c r="C214" s="12" t="s">
        <v>65</v>
      </c>
      <c r="D214" s="51">
        <v>1000000</v>
      </c>
      <c r="E214" s="51">
        <v>990000</v>
      </c>
      <c r="F214" s="51">
        <f>SUM(J214:J214)</f>
        <v>0</v>
      </c>
      <c r="G214" s="74">
        <f t="shared" si="8"/>
        <v>-1000000</v>
      </c>
      <c r="H214" s="13" t="s">
        <v>66</v>
      </c>
      <c r="I214" s="14"/>
      <c r="J214" s="58"/>
      <c r="K214" s="74"/>
      <c r="L214" s="1"/>
      <c r="M214" s="52"/>
    </row>
    <row r="215" spans="1:13" s="22" customFormat="1" ht="16.5" customHeight="1" x14ac:dyDescent="0.15">
      <c r="A215" s="7"/>
      <c r="B215" s="7"/>
      <c r="C215" s="12" t="s">
        <v>82</v>
      </c>
      <c r="D215" s="51">
        <v>3500000</v>
      </c>
      <c r="E215" s="51">
        <v>5000000</v>
      </c>
      <c r="F215" s="51">
        <f>SUM(J215:J215)</f>
        <v>5000000</v>
      </c>
      <c r="G215" s="74">
        <f t="shared" si="8"/>
        <v>1500000</v>
      </c>
      <c r="H215" s="13" t="s">
        <v>83</v>
      </c>
      <c r="I215" s="14"/>
      <c r="J215" s="58">
        <v>5000000</v>
      </c>
      <c r="K215" s="74"/>
      <c r="L215" s="1"/>
      <c r="M215" s="52"/>
    </row>
    <row r="216" spans="1:13" s="22" customFormat="1" ht="16.5" customHeight="1" x14ac:dyDescent="0.15">
      <c r="A216" s="7"/>
      <c r="B216" s="7"/>
      <c r="C216" s="12" t="s">
        <v>84</v>
      </c>
      <c r="D216" s="51">
        <v>0</v>
      </c>
      <c r="E216" s="51">
        <v>5100000</v>
      </c>
      <c r="F216" s="51">
        <f>SUM(J216:J216)</f>
        <v>15000000</v>
      </c>
      <c r="G216" s="74">
        <f t="shared" si="8"/>
        <v>15000000</v>
      </c>
      <c r="H216" s="13" t="s">
        <v>530</v>
      </c>
      <c r="I216" s="14" t="s">
        <v>531</v>
      </c>
      <c r="J216" s="58">
        <v>15000000</v>
      </c>
      <c r="K216" s="74"/>
      <c r="L216" s="1"/>
      <c r="M216" s="52"/>
    </row>
    <row r="217" spans="1:13" s="22" customFormat="1" ht="16.5" customHeight="1" x14ac:dyDescent="0.15">
      <c r="A217" s="6"/>
      <c r="B217" s="6"/>
      <c r="C217" s="6" t="s">
        <v>85</v>
      </c>
      <c r="D217" s="53">
        <v>5000000</v>
      </c>
      <c r="E217" s="53">
        <v>70700</v>
      </c>
      <c r="F217" s="53">
        <f>J217</f>
        <v>2000000</v>
      </c>
      <c r="G217" s="72">
        <f>F217-D217</f>
        <v>-3000000</v>
      </c>
      <c r="H217" s="8" t="s">
        <v>86</v>
      </c>
      <c r="I217" s="9"/>
      <c r="J217" s="56">
        <v>2000000</v>
      </c>
      <c r="K217" s="72"/>
      <c r="L217" s="1"/>
      <c r="M217" s="52"/>
    </row>
    <row r="218" spans="1:13" s="22" customFormat="1" ht="19.5" customHeight="1" x14ac:dyDescent="0.15">
      <c r="A218" s="7" t="s">
        <v>51</v>
      </c>
      <c r="B218" s="7" t="s">
        <v>338</v>
      </c>
      <c r="C218" s="6"/>
      <c r="D218" s="53">
        <v>11720000</v>
      </c>
      <c r="E218" s="53">
        <f>SUM(E219:E231)</f>
        <v>8388808</v>
      </c>
      <c r="F218" s="53">
        <f>SUM(F219:F231)</f>
        <v>20310000</v>
      </c>
      <c r="G218" s="72">
        <f>F218-D218</f>
        <v>8590000</v>
      </c>
      <c r="H218" s="13"/>
      <c r="I218" s="14"/>
      <c r="J218" s="58"/>
      <c r="K218" s="72"/>
      <c r="L218" s="1"/>
      <c r="M218" s="52"/>
    </row>
    <row r="219" spans="1:13" s="22" customFormat="1" ht="19.5" customHeight="1" x14ac:dyDescent="0.15">
      <c r="A219" s="7"/>
      <c r="B219" s="7" t="s">
        <v>87</v>
      </c>
      <c r="C219" s="18" t="s">
        <v>55</v>
      </c>
      <c r="D219" s="69">
        <v>4420000</v>
      </c>
      <c r="E219" s="69">
        <v>4240000</v>
      </c>
      <c r="F219" s="69">
        <f>SUM(J219:J223)</f>
        <v>5750000</v>
      </c>
      <c r="G219" s="73">
        <f>F219-D219</f>
        <v>1330000</v>
      </c>
      <c r="H219" s="15" t="s">
        <v>77</v>
      </c>
      <c r="I219" s="16" t="s">
        <v>539</v>
      </c>
      <c r="J219" s="59">
        <f>30000*17*4</f>
        <v>2040000</v>
      </c>
      <c r="K219" s="73"/>
      <c r="L219" s="1"/>
      <c r="M219" s="52"/>
    </row>
    <row r="220" spans="1:13" s="22" customFormat="1" ht="19.5" customHeight="1" x14ac:dyDescent="0.15">
      <c r="A220" s="7"/>
      <c r="B220" s="7"/>
      <c r="C220" s="7"/>
      <c r="D220" s="26"/>
      <c r="E220" s="26"/>
      <c r="F220" s="26"/>
      <c r="G220" s="75"/>
      <c r="H220" s="10" t="s">
        <v>78</v>
      </c>
      <c r="I220" s="11" t="s">
        <v>540</v>
      </c>
      <c r="J220" s="57">
        <f>15000*17*4</f>
        <v>1020000</v>
      </c>
      <c r="K220" s="75"/>
      <c r="L220" s="1"/>
      <c r="M220" s="52"/>
    </row>
    <row r="221" spans="1:13" s="22" customFormat="1" ht="19.5" customHeight="1" x14ac:dyDescent="0.15">
      <c r="A221" s="7"/>
      <c r="B221" s="7"/>
      <c r="C221" s="7"/>
      <c r="D221" s="26"/>
      <c r="E221" s="26"/>
      <c r="F221" s="26"/>
      <c r="G221" s="75"/>
      <c r="H221" s="10" t="s">
        <v>57</v>
      </c>
      <c r="I221" s="11" t="s">
        <v>542</v>
      </c>
      <c r="J221" s="57">
        <f>40000*9*4</f>
        <v>1440000</v>
      </c>
      <c r="K221" s="75"/>
      <c r="L221" s="1"/>
      <c r="M221" s="52"/>
    </row>
    <row r="222" spans="1:13" s="22" customFormat="1" ht="19.5" customHeight="1" x14ac:dyDescent="0.15">
      <c r="A222" s="7"/>
      <c r="B222" s="7"/>
      <c r="C222" s="7"/>
      <c r="D222" s="26"/>
      <c r="E222" s="26"/>
      <c r="F222" s="26"/>
      <c r="G222" s="75"/>
      <c r="H222" s="10" t="s">
        <v>56</v>
      </c>
      <c r="I222" s="11" t="s">
        <v>541</v>
      </c>
      <c r="J222" s="57">
        <f>50000*17</f>
        <v>850000</v>
      </c>
      <c r="K222" s="75"/>
      <c r="L222" s="1"/>
      <c r="M222" s="52"/>
    </row>
    <row r="223" spans="1:13" s="22" customFormat="1" ht="19.5" customHeight="1" x14ac:dyDescent="0.15">
      <c r="A223" s="7"/>
      <c r="B223" s="7"/>
      <c r="C223" s="6"/>
      <c r="D223" s="53"/>
      <c r="E223" s="53"/>
      <c r="F223" s="53"/>
      <c r="G223" s="72"/>
      <c r="H223" s="8" t="s">
        <v>456</v>
      </c>
      <c r="I223" s="9"/>
      <c r="J223" s="56">
        <v>400000</v>
      </c>
      <c r="K223" s="72"/>
      <c r="L223" s="1"/>
      <c r="M223" s="52"/>
    </row>
    <row r="224" spans="1:13" s="22" customFormat="1" ht="19.5" customHeight="1" x14ac:dyDescent="0.15">
      <c r="A224" s="7"/>
      <c r="B224" s="7"/>
      <c r="C224" s="6" t="s">
        <v>16</v>
      </c>
      <c r="D224" s="53">
        <v>300000</v>
      </c>
      <c r="E224" s="53">
        <v>243310</v>
      </c>
      <c r="F224" s="53">
        <f>J224</f>
        <v>660000</v>
      </c>
      <c r="G224" s="72">
        <f>F224-D224</f>
        <v>360000</v>
      </c>
      <c r="H224" s="8" t="s">
        <v>88</v>
      </c>
      <c r="I224" s="9" t="s">
        <v>543</v>
      </c>
      <c r="J224" s="56">
        <f>4400*150</f>
        <v>660000</v>
      </c>
      <c r="K224" s="72"/>
      <c r="L224" s="1"/>
      <c r="M224" s="52"/>
    </row>
    <row r="225" spans="1:13" s="22" customFormat="1" ht="19.5" customHeight="1" x14ac:dyDescent="0.15">
      <c r="A225" s="7"/>
      <c r="B225" s="7"/>
      <c r="C225" s="6" t="s">
        <v>58</v>
      </c>
      <c r="D225" s="53">
        <v>1500000</v>
      </c>
      <c r="E225" s="53">
        <v>520000</v>
      </c>
      <c r="F225" s="53">
        <f>J225</f>
        <v>2400000</v>
      </c>
      <c r="G225" s="72">
        <f>F225-D225</f>
        <v>900000</v>
      </c>
      <c r="H225" s="8" t="s">
        <v>59</v>
      </c>
      <c r="I225" s="9" t="s">
        <v>659</v>
      </c>
      <c r="J225" s="56">
        <f>60000*10*4</f>
        <v>2400000</v>
      </c>
      <c r="K225" s="72"/>
      <c r="L225" s="1"/>
      <c r="M225" s="52"/>
    </row>
    <row r="226" spans="1:13" s="22" customFormat="1" ht="19.5" customHeight="1" x14ac:dyDescent="0.15">
      <c r="A226" s="7"/>
      <c r="B226" s="7"/>
      <c r="C226" s="6" t="s">
        <v>63</v>
      </c>
      <c r="D226" s="53">
        <v>1000000</v>
      </c>
      <c r="E226" s="53">
        <v>1026500</v>
      </c>
      <c r="F226" s="53">
        <f>J226</f>
        <v>2000000</v>
      </c>
      <c r="G226" s="72">
        <f t="shared" ref="G226:G231" si="9">F226-D226</f>
        <v>1000000</v>
      </c>
      <c r="H226" s="8" t="s">
        <v>80</v>
      </c>
      <c r="I226" s="9"/>
      <c r="J226" s="56">
        <v>2000000</v>
      </c>
      <c r="K226" s="72"/>
      <c r="L226" s="1"/>
      <c r="M226" s="52"/>
    </row>
    <row r="227" spans="1:13" s="22" customFormat="1" ht="19.5" customHeight="1" x14ac:dyDescent="0.15">
      <c r="A227" s="7"/>
      <c r="B227" s="7"/>
      <c r="C227" s="6" t="s">
        <v>45</v>
      </c>
      <c r="D227" s="53">
        <v>1000000</v>
      </c>
      <c r="E227" s="53">
        <v>0</v>
      </c>
      <c r="F227" s="53">
        <f>J227</f>
        <v>2000000</v>
      </c>
      <c r="G227" s="72">
        <f>F227-D227</f>
        <v>1000000</v>
      </c>
      <c r="H227" s="8" t="s">
        <v>60</v>
      </c>
      <c r="I227" s="9"/>
      <c r="J227" s="56">
        <v>2000000</v>
      </c>
      <c r="K227" s="72"/>
      <c r="L227" s="1"/>
      <c r="M227" s="52"/>
    </row>
    <row r="228" spans="1:13" s="22" customFormat="1" ht="19.5" customHeight="1" x14ac:dyDescent="0.15">
      <c r="A228" s="7"/>
      <c r="B228" s="7"/>
      <c r="C228" s="6" t="s">
        <v>61</v>
      </c>
      <c r="D228" s="53">
        <v>1000000</v>
      </c>
      <c r="E228" s="53">
        <v>618998</v>
      </c>
      <c r="F228" s="53">
        <f>J228</f>
        <v>2000000</v>
      </c>
      <c r="G228" s="72">
        <f t="shared" si="9"/>
        <v>1000000</v>
      </c>
      <c r="H228" s="8" t="s">
        <v>81</v>
      </c>
      <c r="I228" s="9"/>
      <c r="J228" s="56">
        <v>2000000</v>
      </c>
      <c r="K228" s="72"/>
      <c r="L228" s="1"/>
      <c r="M228" s="52"/>
    </row>
    <row r="229" spans="1:13" s="22" customFormat="1" ht="19.5" customHeight="1" x14ac:dyDescent="0.15">
      <c r="A229" s="87"/>
      <c r="B229" s="7"/>
      <c r="C229" s="6" t="s">
        <v>37</v>
      </c>
      <c r="D229" s="53">
        <v>0</v>
      </c>
      <c r="E229" s="53">
        <v>0</v>
      </c>
      <c r="F229" s="53">
        <f>SUM(J229)</f>
        <v>2000000</v>
      </c>
      <c r="G229" s="72">
        <f>F229-D229</f>
        <v>2000000</v>
      </c>
      <c r="H229" s="8" t="s">
        <v>38</v>
      </c>
      <c r="I229" s="9"/>
      <c r="J229" s="56">
        <v>2000000</v>
      </c>
      <c r="K229" s="72"/>
      <c r="L229" s="1"/>
      <c r="M229" s="52"/>
    </row>
    <row r="230" spans="1:13" s="22" customFormat="1" ht="19.5" customHeight="1" x14ac:dyDescent="0.15">
      <c r="A230" s="7"/>
      <c r="B230" s="7"/>
      <c r="C230" s="6" t="s">
        <v>7</v>
      </c>
      <c r="D230" s="53">
        <v>1500000</v>
      </c>
      <c r="E230" s="53">
        <v>1500000</v>
      </c>
      <c r="F230" s="53">
        <f>J230</f>
        <v>1500000</v>
      </c>
      <c r="G230" s="53">
        <f t="shared" si="9"/>
        <v>0</v>
      </c>
      <c r="H230" s="8" t="s">
        <v>89</v>
      </c>
      <c r="I230" s="9"/>
      <c r="J230" s="56">
        <v>1500000</v>
      </c>
      <c r="K230" s="53"/>
      <c r="L230" s="1"/>
      <c r="M230" s="52"/>
    </row>
    <row r="231" spans="1:13" s="22" customFormat="1" ht="19.5" customHeight="1" x14ac:dyDescent="0.15">
      <c r="A231" s="7"/>
      <c r="B231" s="6"/>
      <c r="C231" s="6" t="s">
        <v>85</v>
      </c>
      <c r="D231" s="53">
        <v>1000000</v>
      </c>
      <c r="E231" s="53">
        <v>240000</v>
      </c>
      <c r="F231" s="53">
        <f>SUM(J231)</f>
        <v>2000000</v>
      </c>
      <c r="G231" s="72">
        <f t="shared" si="9"/>
        <v>1000000</v>
      </c>
      <c r="H231" s="8" t="s">
        <v>68</v>
      </c>
      <c r="I231" s="9"/>
      <c r="J231" s="56">
        <v>2000000</v>
      </c>
      <c r="K231" s="72"/>
      <c r="L231" s="1"/>
      <c r="M231" s="52"/>
    </row>
    <row r="232" spans="1:13" s="22" customFormat="1" ht="19.5" customHeight="1" x14ac:dyDescent="0.15">
      <c r="A232" s="7"/>
      <c r="B232" s="7" t="s">
        <v>339</v>
      </c>
      <c r="C232" s="6"/>
      <c r="D232" s="53">
        <v>26513000</v>
      </c>
      <c r="E232" s="53">
        <f>SUM(E233:E258)</f>
        <v>25560648</v>
      </c>
      <c r="F232" s="53">
        <f>SUM(F233:F258)</f>
        <v>56066000</v>
      </c>
      <c r="G232" s="72">
        <f>F232-D232</f>
        <v>29553000</v>
      </c>
      <c r="H232" s="8"/>
      <c r="I232" s="9"/>
      <c r="J232" s="56"/>
      <c r="K232" s="72"/>
      <c r="L232" s="1"/>
      <c r="M232" s="52"/>
    </row>
    <row r="233" spans="1:13" s="22" customFormat="1" ht="19.5" customHeight="1" x14ac:dyDescent="0.15">
      <c r="A233" s="7"/>
      <c r="B233" s="7" t="s">
        <v>96</v>
      </c>
      <c r="C233" s="7" t="s">
        <v>71</v>
      </c>
      <c r="D233" s="26">
        <v>2488000</v>
      </c>
      <c r="E233" s="26">
        <v>2983000</v>
      </c>
      <c r="F233" s="26">
        <f>SUM(J233:J237)</f>
        <v>3718000</v>
      </c>
      <c r="G233" s="75">
        <f>F233-D233</f>
        <v>1230000</v>
      </c>
      <c r="H233" s="10" t="s">
        <v>97</v>
      </c>
      <c r="I233" s="11" t="s">
        <v>544</v>
      </c>
      <c r="J233" s="64">
        <f>110000*8</f>
        <v>880000</v>
      </c>
      <c r="K233" s="75"/>
      <c r="L233" s="1"/>
      <c r="M233" s="52"/>
    </row>
    <row r="234" spans="1:13" s="22" customFormat="1" ht="19.5" customHeight="1" x14ac:dyDescent="0.15">
      <c r="A234" s="7"/>
      <c r="B234" s="7" t="s">
        <v>98</v>
      </c>
      <c r="C234" s="7"/>
      <c r="D234" s="26"/>
      <c r="E234" s="26"/>
      <c r="F234" s="26"/>
      <c r="G234" s="75"/>
      <c r="H234" s="10"/>
      <c r="I234" s="11" t="s">
        <v>545</v>
      </c>
      <c r="J234" s="64">
        <f>93500*8</f>
        <v>748000</v>
      </c>
      <c r="K234" s="75"/>
      <c r="L234" s="1"/>
      <c r="M234" s="52"/>
    </row>
    <row r="235" spans="1:13" s="22" customFormat="1" ht="19.5" customHeight="1" x14ac:dyDescent="0.15">
      <c r="A235" s="7"/>
      <c r="B235" s="7"/>
      <c r="C235" s="7"/>
      <c r="D235" s="26"/>
      <c r="E235" s="26"/>
      <c r="F235" s="26"/>
      <c r="G235" s="75"/>
      <c r="H235" s="10"/>
      <c r="I235" s="11" t="s">
        <v>546</v>
      </c>
      <c r="J235" s="64">
        <f>77000*16</f>
        <v>1232000</v>
      </c>
      <c r="K235" s="75"/>
      <c r="L235" s="1"/>
      <c r="M235" s="52"/>
    </row>
    <row r="236" spans="1:13" s="22" customFormat="1" ht="19.5" customHeight="1" x14ac:dyDescent="0.15">
      <c r="A236" s="7"/>
      <c r="B236" s="7"/>
      <c r="C236" s="7"/>
      <c r="D236" s="26"/>
      <c r="E236" s="26"/>
      <c r="F236" s="26"/>
      <c r="G236" s="75"/>
      <c r="H236" s="10" t="s">
        <v>207</v>
      </c>
      <c r="I236" s="11" t="s">
        <v>547</v>
      </c>
      <c r="J236" s="64">
        <f>16500*32</f>
        <v>528000</v>
      </c>
      <c r="K236" s="75"/>
      <c r="L236" s="1"/>
      <c r="M236" s="52"/>
    </row>
    <row r="237" spans="1:13" s="22" customFormat="1" ht="19.5" customHeight="1" x14ac:dyDescent="0.15">
      <c r="A237" s="7"/>
      <c r="B237" s="7"/>
      <c r="C237" s="6"/>
      <c r="D237" s="53"/>
      <c r="E237" s="53"/>
      <c r="F237" s="53"/>
      <c r="G237" s="72"/>
      <c r="H237" s="8" t="s">
        <v>520</v>
      </c>
      <c r="I237" s="9" t="s">
        <v>521</v>
      </c>
      <c r="J237" s="65">
        <f>165000*2</f>
        <v>330000</v>
      </c>
      <c r="K237" s="72"/>
      <c r="L237" s="1"/>
      <c r="M237" s="52"/>
    </row>
    <row r="238" spans="1:13" s="22" customFormat="1" ht="19.5" customHeight="1" x14ac:dyDescent="0.15">
      <c r="A238" s="7"/>
      <c r="B238" s="7"/>
      <c r="C238" s="7" t="s">
        <v>55</v>
      </c>
      <c r="D238" s="26">
        <v>6025000</v>
      </c>
      <c r="E238" s="26">
        <v>4212800</v>
      </c>
      <c r="F238" s="26">
        <f>SUM(J238:J243)</f>
        <v>7820000</v>
      </c>
      <c r="G238" s="75">
        <f>F238-D238</f>
        <v>1795000</v>
      </c>
      <c r="H238" s="10" t="s">
        <v>77</v>
      </c>
      <c r="I238" s="11" t="s">
        <v>548</v>
      </c>
      <c r="J238" s="57">
        <f>30000*15*6</f>
        <v>2700000</v>
      </c>
      <c r="K238" s="75"/>
      <c r="L238" s="1"/>
      <c r="M238" s="52"/>
    </row>
    <row r="239" spans="1:13" s="22" customFormat="1" ht="19.5" customHeight="1" x14ac:dyDescent="0.15">
      <c r="A239" s="7"/>
      <c r="B239" s="7"/>
      <c r="C239" s="7"/>
      <c r="D239" s="26"/>
      <c r="E239" s="26"/>
      <c r="F239" s="26"/>
      <c r="G239" s="75"/>
      <c r="H239" s="10" t="s">
        <v>78</v>
      </c>
      <c r="I239" s="11" t="s">
        <v>549</v>
      </c>
      <c r="J239" s="57">
        <f>15000*15*6</f>
        <v>1350000</v>
      </c>
      <c r="K239" s="75"/>
      <c r="L239" s="1"/>
      <c r="M239" s="52"/>
    </row>
    <row r="240" spans="1:13" s="22" customFormat="1" ht="19.5" customHeight="1" x14ac:dyDescent="0.15">
      <c r="A240" s="7"/>
      <c r="B240" s="7"/>
      <c r="C240" s="7"/>
      <c r="D240" s="26"/>
      <c r="E240" s="26"/>
      <c r="F240" s="26"/>
      <c r="G240" s="75"/>
      <c r="H240" s="10" t="s">
        <v>56</v>
      </c>
      <c r="I240" s="11" t="s">
        <v>197</v>
      </c>
      <c r="J240" s="57">
        <f>50000*15</f>
        <v>750000</v>
      </c>
      <c r="K240" s="75"/>
      <c r="L240" s="1"/>
      <c r="M240" s="52"/>
    </row>
    <row r="241" spans="1:13" s="22" customFormat="1" ht="19.5" customHeight="1" x14ac:dyDescent="0.15">
      <c r="A241" s="7"/>
      <c r="B241" s="7"/>
      <c r="C241" s="7"/>
      <c r="D241" s="26"/>
      <c r="E241" s="26"/>
      <c r="F241" s="26"/>
      <c r="G241" s="75"/>
      <c r="H241" s="24" t="s">
        <v>57</v>
      </c>
      <c r="I241" s="11" t="s">
        <v>660</v>
      </c>
      <c r="J241" s="57">
        <f>40000*8*6</f>
        <v>1920000</v>
      </c>
      <c r="K241" s="75"/>
      <c r="L241" s="1"/>
      <c r="M241" s="52"/>
    </row>
    <row r="242" spans="1:13" s="22" customFormat="1" ht="19.5" customHeight="1" x14ac:dyDescent="0.15">
      <c r="A242" s="7"/>
      <c r="B242" s="7"/>
      <c r="C242" s="7"/>
      <c r="D242" s="26"/>
      <c r="E242" s="26"/>
      <c r="F242" s="26"/>
      <c r="G242" s="75"/>
      <c r="H242" s="24" t="s">
        <v>456</v>
      </c>
      <c r="I242" s="11"/>
      <c r="J242" s="57">
        <v>800000</v>
      </c>
      <c r="K242" s="75"/>
      <c r="L242" s="1"/>
      <c r="M242" s="52"/>
    </row>
    <row r="243" spans="1:13" s="22" customFormat="1" ht="19.5" customHeight="1" x14ac:dyDescent="0.15">
      <c r="A243" s="6"/>
      <c r="B243" s="6"/>
      <c r="C243" s="6"/>
      <c r="D243" s="53"/>
      <c r="E243" s="53"/>
      <c r="F243" s="53"/>
      <c r="G243" s="72"/>
      <c r="H243" s="25" t="s">
        <v>93</v>
      </c>
      <c r="I243" s="9"/>
      <c r="J243" s="56">
        <v>300000</v>
      </c>
      <c r="K243" s="72"/>
      <c r="L243" s="1"/>
      <c r="M243" s="52"/>
    </row>
    <row r="244" spans="1:13" s="22" customFormat="1" ht="17.25" customHeight="1" x14ac:dyDescent="0.15">
      <c r="A244" s="7" t="s">
        <v>51</v>
      </c>
      <c r="B244" s="7" t="s">
        <v>339</v>
      </c>
      <c r="C244" s="7" t="s">
        <v>16</v>
      </c>
      <c r="D244" s="26">
        <v>2100000</v>
      </c>
      <c r="E244" s="26">
        <v>4020500</v>
      </c>
      <c r="F244" s="26">
        <f>SUM(J244:J246)</f>
        <v>5313000</v>
      </c>
      <c r="G244" s="75">
        <f>F244-D244</f>
        <v>3213000</v>
      </c>
      <c r="H244" s="10" t="s">
        <v>94</v>
      </c>
      <c r="I244" s="11" t="s">
        <v>550</v>
      </c>
      <c r="J244" s="57">
        <f>9020*500</f>
        <v>4510000</v>
      </c>
      <c r="K244" s="75"/>
      <c r="L244" s="1"/>
      <c r="M244" s="52"/>
    </row>
    <row r="245" spans="1:13" s="22" customFormat="1" ht="17.25" customHeight="1" x14ac:dyDescent="0.15">
      <c r="A245" s="7"/>
      <c r="B245" s="7" t="s">
        <v>96</v>
      </c>
      <c r="C245" s="7"/>
      <c r="D245" s="26"/>
      <c r="E245" s="26"/>
      <c r="F245" s="26"/>
      <c r="G245" s="75"/>
      <c r="H245" s="10" t="s">
        <v>524</v>
      </c>
      <c r="I245" s="11" t="s">
        <v>525</v>
      </c>
      <c r="J245" s="57">
        <f>440000</f>
        <v>440000</v>
      </c>
      <c r="K245" s="75"/>
      <c r="L245" s="1"/>
      <c r="M245" s="52"/>
    </row>
    <row r="246" spans="1:13" s="22" customFormat="1" ht="17.25" customHeight="1" x14ac:dyDescent="0.15">
      <c r="A246" s="7"/>
      <c r="B246" s="7" t="s">
        <v>98</v>
      </c>
      <c r="C246" s="6"/>
      <c r="D246" s="53"/>
      <c r="E246" s="53"/>
      <c r="F246" s="53"/>
      <c r="G246" s="72"/>
      <c r="H246" s="8" t="s">
        <v>551</v>
      </c>
      <c r="I246" s="9" t="s">
        <v>527</v>
      </c>
      <c r="J246" s="56">
        <f>3630*100</f>
        <v>363000</v>
      </c>
      <c r="K246" s="72"/>
      <c r="L246" s="1"/>
      <c r="M246" s="52"/>
    </row>
    <row r="247" spans="1:13" s="22" customFormat="1" ht="17.25" customHeight="1" x14ac:dyDescent="0.15">
      <c r="A247" s="7"/>
      <c r="B247" s="7"/>
      <c r="C247" s="6" t="s">
        <v>58</v>
      </c>
      <c r="D247" s="53">
        <v>1500000</v>
      </c>
      <c r="E247" s="53">
        <v>2066358</v>
      </c>
      <c r="F247" s="53">
        <f>SUM(J247)</f>
        <v>3000000</v>
      </c>
      <c r="G247" s="72">
        <f>F247-D247</f>
        <v>1500000</v>
      </c>
      <c r="H247" s="8" t="s">
        <v>59</v>
      </c>
      <c r="I247" s="9" t="s">
        <v>661</v>
      </c>
      <c r="J247" s="56">
        <f>50000*10*6</f>
        <v>3000000</v>
      </c>
      <c r="K247" s="72"/>
      <c r="L247" s="1"/>
      <c r="M247" s="52"/>
    </row>
    <row r="248" spans="1:13" s="22" customFormat="1" ht="17.25" customHeight="1" x14ac:dyDescent="0.15">
      <c r="A248" s="7"/>
      <c r="B248" s="7"/>
      <c r="C248" s="12" t="s">
        <v>63</v>
      </c>
      <c r="D248" s="51">
        <v>1000000</v>
      </c>
      <c r="E248" s="51">
        <v>496000</v>
      </c>
      <c r="F248" s="51">
        <f>SUM(J248)</f>
        <v>2000000</v>
      </c>
      <c r="G248" s="74">
        <f>F248-D248</f>
        <v>1000000</v>
      </c>
      <c r="H248" s="13" t="s">
        <v>80</v>
      </c>
      <c r="I248" s="14"/>
      <c r="J248" s="58">
        <v>2000000</v>
      </c>
      <c r="K248" s="74"/>
      <c r="L248" s="1"/>
      <c r="M248" s="52"/>
    </row>
    <row r="249" spans="1:13" s="22" customFormat="1" ht="17.25" customHeight="1" x14ac:dyDescent="0.15">
      <c r="A249" s="7"/>
      <c r="B249" s="7"/>
      <c r="C249" s="6" t="s">
        <v>45</v>
      </c>
      <c r="D249" s="53">
        <v>1000000</v>
      </c>
      <c r="E249" s="53">
        <v>1000000</v>
      </c>
      <c r="F249" s="53">
        <f>SUM(J249)</f>
        <v>2000000</v>
      </c>
      <c r="G249" s="72">
        <f>F249-D249</f>
        <v>1000000</v>
      </c>
      <c r="H249" s="8" t="s">
        <v>60</v>
      </c>
      <c r="I249" s="9"/>
      <c r="J249" s="58">
        <v>2000000</v>
      </c>
      <c r="K249" s="72"/>
      <c r="L249" s="1"/>
      <c r="M249" s="52"/>
    </row>
    <row r="250" spans="1:13" s="22" customFormat="1" ht="17.25" customHeight="1" x14ac:dyDescent="0.15">
      <c r="A250" s="7"/>
      <c r="B250" s="7"/>
      <c r="C250" s="6" t="s">
        <v>61</v>
      </c>
      <c r="D250" s="53">
        <v>1000000</v>
      </c>
      <c r="E250" s="53">
        <v>1567300</v>
      </c>
      <c r="F250" s="53">
        <f>SUM(J250)</f>
        <v>2000000</v>
      </c>
      <c r="G250" s="72">
        <f>F250-D250</f>
        <v>1000000</v>
      </c>
      <c r="H250" s="8" t="s">
        <v>81</v>
      </c>
      <c r="I250" s="9"/>
      <c r="J250" s="56">
        <v>2000000</v>
      </c>
      <c r="K250" s="72"/>
      <c r="L250" s="1"/>
      <c r="M250" s="52"/>
    </row>
    <row r="251" spans="1:13" s="22" customFormat="1" ht="17.25" customHeight="1" x14ac:dyDescent="0.15">
      <c r="A251" s="7"/>
      <c r="B251" s="7"/>
      <c r="C251" s="7" t="s">
        <v>35</v>
      </c>
      <c r="D251" s="26">
        <v>1900000</v>
      </c>
      <c r="E251" s="26">
        <v>990680</v>
      </c>
      <c r="F251" s="26">
        <f>SUM(J251:J253)</f>
        <v>6215000</v>
      </c>
      <c r="G251" s="75">
        <f>F251-D251</f>
        <v>4315000</v>
      </c>
      <c r="H251" s="15" t="s">
        <v>473</v>
      </c>
      <c r="I251" s="16" t="s">
        <v>474</v>
      </c>
      <c r="J251" s="57">
        <f>660000*2</f>
        <v>1320000</v>
      </c>
      <c r="K251" s="75"/>
      <c r="L251" s="1"/>
      <c r="M251" s="52"/>
    </row>
    <row r="252" spans="1:13" s="22" customFormat="1" ht="17.25" customHeight="1" x14ac:dyDescent="0.15">
      <c r="A252" s="7"/>
      <c r="B252" s="7"/>
      <c r="C252" s="7"/>
      <c r="D252" s="26"/>
      <c r="E252" s="26"/>
      <c r="F252" s="26"/>
      <c r="G252" s="75"/>
      <c r="H252" s="10" t="s">
        <v>528</v>
      </c>
      <c r="I252" s="11" t="s">
        <v>552</v>
      </c>
      <c r="J252" s="57">
        <f>16500*30</f>
        <v>495000</v>
      </c>
      <c r="K252" s="75"/>
      <c r="L252" s="1"/>
      <c r="M252" s="52"/>
    </row>
    <row r="253" spans="1:13" s="22" customFormat="1" ht="17.25" customHeight="1" x14ac:dyDescent="0.15">
      <c r="A253" s="7"/>
      <c r="B253" s="7"/>
      <c r="C253" s="6"/>
      <c r="D253" s="53"/>
      <c r="E253" s="53"/>
      <c r="F253" s="53"/>
      <c r="G253" s="72"/>
      <c r="H253" s="8" t="s">
        <v>193</v>
      </c>
      <c r="I253" s="9"/>
      <c r="J253" s="56">
        <v>4400000</v>
      </c>
      <c r="K253" s="72"/>
      <c r="L253" s="1"/>
      <c r="M253" s="52"/>
    </row>
    <row r="254" spans="1:13" s="22" customFormat="1" ht="17.25" customHeight="1" x14ac:dyDescent="0.15">
      <c r="A254" s="87"/>
      <c r="B254" s="7"/>
      <c r="C254" s="6" t="s">
        <v>37</v>
      </c>
      <c r="D254" s="53">
        <v>0</v>
      </c>
      <c r="E254" s="53">
        <v>0</v>
      </c>
      <c r="F254" s="53">
        <f>SUM(J254)</f>
        <v>2000000</v>
      </c>
      <c r="G254" s="72">
        <f t="shared" ref="G254:G260" si="10">F254-D254</f>
        <v>2000000</v>
      </c>
      <c r="H254" s="8" t="s">
        <v>38</v>
      </c>
      <c r="I254" s="9"/>
      <c r="J254" s="56">
        <v>2000000</v>
      </c>
      <c r="K254" s="72"/>
      <c r="L254" s="1"/>
      <c r="M254" s="52"/>
    </row>
    <row r="255" spans="1:13" s="22" customFormat="1" ht="17.25" customHeight="1" x14ac:dyDescent="0.15">
      <c r="A255" s="7"/>
      <c r="B255" s="7"/>
      <c r="C255" s="12" t="s">
        <v>65</v>
      </c>
      <c r="D255" s="51">
        <v>1000000</v>
      </c>
      <c r="E255" s="51">
        <v>275000</v>
      </c>
      <c r="F255" s="51">
        <f>SUM(J255:J255)</f>
        <v>0</v>
      </c>
      <c r="G255" s="74">
        <f t="shared" si="10"/>
        <v>-1000000</v>
      </c>
      <c r="H255" s="13"/>
      <c r="I255" s="14"/>
      <c r="J255" s="58"/>
      <c r="K255" s="74"/>
      <c r="L255" s="1"/>
      <c r="M255" s="52"/>
    </row>
    <row r="256" spans="1:13" s="22" customFormat="1" ht="17.25" customHeight="1" x14ac:dyDescent="0.15">
      <c r="A256" s="7"/>
      <c r="B256" s="7"/>
      <c r="C256" s="12" t="s">
        <v>82</v>
      </c>
      <c r="D256" s="51">
        <v>3500000</v>
      </c>
      <c r="E256" s="51">
        <v>4000000</v>
      </c>
      <c r="F256" s="51">
        <f>SUM(J256:J256)</f>
        <v>5000000</v>
      </c>
      <c r="G256" s="74">
        <f t="shared" si="10"/>
        <v>1500000</v>
      </c>
      <c r="H256" s="13" t="s">
        <v>83</v>
      </c>
      <c r="I256" s="14"/>
      <c r="J256" s="58">
        <v>5000000</v>
      </c>
      <c r="K256" s="74"/>
      <c r="L256" s="1"/>
      <c r="M256" s="52"/>
    </row>
    <row r="257" spans="1:13" s="22" customFormat="1" ht="17.25" customHeight="1" x14ac:dyDescent="0.15">
      <c r="A257" s="7"/>
      <c r="B257" s="7"/>
      <c r="C257" s="12" t="s">
        <v>84</v>
      </c>
      <c r="D257" s="51">
        <v>0</v>
      </c>
      <c r="E257" s="51">
        <v>3900000</v>
      </c>
      <c r="F257" s="51">
        <f>SUM(J257:J257)</f>
        <v>15000000</v>
      </c>
      <c r="G257" s="74">
        <f t="shared" si="10"/>
        <v>15000000</v>
      </c>
      <c r="H257" s="13" t="s">
        <v>530</v>
      </c>
      <c r="I257" s="14" t="s">
        <v>531</v>
      </c>
      <c r="J257" s="58">
        <v>15000000</v>
      </c>
      <c r="K257" s="74"/>
      <c r="L257" s="1"/>
      <c r="M257" s="52"/>
    </row>
    <row r="258" spans="1:13" s="22" customFormat="1" ht="17.25" customHeight="1" x14ac:dyDescent="0.15">
      <c r="A258" s="7"/>
      <c r="B258" s="6"/>
      <c r="C258" s="6" t="s">
        <v>67</v>
      </c>
      <c r="D258" s="53">
        <v>5000000</v>
      </c>
      <c r="E258" s="53">
        <v>49010</v>
      </c>
      <c r="F258" s="53">
        <f>SUM(J258)</f>
        <v>2000000</v>
      </c>
      <c r="G258" s="72">
        <f t="shared" si="10"/>
        <v>-3000000</v>
      </c>
      <c r="H258" s="8" t="s">
        <v>68</v>
      </c>
      <c r="I258" s="9"/>
      <c r="J258" s="56">
        <v>2000000</v>
      </c>
      <c r="K258" s="72"/>
      <c r="L258" s="1"/>
      <c r="M258" s="52"/>
    </row>
    <row r="259" spans="1:13" s="22" customFormat="1" ht="17.25" customHeight="1" x14ac:dyDescent="0.15">
      <c r="A259" s="7"/>
      <c r="B259" s="7" t="s">
        <v>340</v>
      </c>
      <c r="C259" s="6"/>
      <c r="D259" s="53">
        <v>16650000</v>
      </c>
      <c r="E259" s="53">
        <f>SUM(E260:E272)</f>
        <v>16419240</v>
      </c>
      <c r="F259" s="53">
        <f>SUM(F260:F272)</f>
        <v>21396000</v>
      </c>
      <c r="G259" s="72">
        <f t="shared" si="10"/>
        <v>4746000</v>
      </c>
      <c r="H259" s="8"/>
      <c r="I259" s="9"/>
      <c r="J259" s="56"/>
      <c r="K259" s="72"/>
      <c r="L259" s="1"/>
      <c r="M259" s="52"/>
    </row>
    <row r="260" spans="1:13" s="22" customFormat="1" ht="17.25" customHeight="1" x14ac:dyDescent="0.15">
      <c r="A260" s="7"/>
      <c r="B260" s="7" t="s">
        <v>99</v>
      </c>
      <c r="C260" s="18" t="s">
        <v>55</v>
      </c>
      <c r="D260" s="69">
        <v>5250000</v>
      </c>
      <c r="E260" s="69">
        <v>6750000</v>
      </c>
      <c r="F260" s="69">
        <f>SUM(J260:J264)</f>
        <v>6125000</v>
      </c>
      <c r="G260" s="73">
        <f t="shared" si="10"/>
        <v>875000</v>
      </c>
      <c r="H260" s="15" t="s">
        <v>77</v>
      </c>
      <c r="I260" s="16" t="s">
        <v>194</v>
      </c>
      <c r="J260" s="59">
        <f>30000*15*5</f>
        <v>2250000</v>
      </c>
      <c r="K260" s="73"/>
      <c r="L260" s="1"/>
      <c r="M260" s="52"/>
    </row>
    <row r="261" spans="1:13" s="22" customFormat="1" ht="17.25" customHeight="1" x14ac:dyDescent="0.15">
      <c r="A261" s="7"/>
      <c r="B261" s="7"/>
      <c r="C261" s="7"/>
      <c r="D261" s="26"/>
      <c r="E261" s="26"/>
      <c r="F261" s="26" t="s">
        <v>136</v>
      </c>
      <c r="G261" s="75"/>
      <c r="H261" s="10" t="s">
        <v>78</v>
      </c>
      <c r="I261" s="11" t="s">
        <v>203</v>
      </c>
      <c r="J261" s="57">
        <f>15000*15*5</f>
        <v>1125000</v>
      </c>
      <c r="K261" s="75"/>
      <c r="L261" s="1"/>
      <c r="M261" s="52"/>
    </row>
    <row r="262" spans="1:13" s="22" customFormat="1" ht="17.25" customHeight="1" x14ac:dyDescent="0.15">
      <c r="A262" s="7"/>
      <c r="B262" s="7"/>
      <c r="C262" s="7"/>
      <c r="D262" s="26"/>
      <c r="E262" s="26"/>
      <c r="F262" s="26"/>
      <c r="G262" s="75"/>
      <c r="H262" s="10" t="s">
        <v>56</v>
      </c>
      <c r="I262" s="11" t="s">
        <v>197</v>
      </c>
      <c r="J262" s="57">
        <f>50000*15</f>
        <v>750000</v>
      </c>
      <c r="K262" s="75"/>
      <c r="L262" s="1"/>
      <c r="M262" s="52"/>
    </row>
    <row r="263" spans="1:13" s="22" customFormat="1" ht="17.25" customHeight="1" x14ac:dyDescent="0.15">
      <c r="A263" s="7"/>
      <c r="B263" s="7"/>
      <c r="C263" s="7"/>
      <c r="D263" s="26"/>
      <c r="E263" s="26"/>
      <c r="F263" s="26"/>
      <c r="G263" s="75"/>
      <c r="H263" s="10" t="s">
        <v>57</v>
      </c>
      <c r="I263" s="11" t="s">
        <v>553</v>
      </c>
      <c r="J263" s="57">
        <f>40000*8*5</f>
        <v>1600000</v>
      </c>
      <c r="K263" s="75"/>
      <c r="L263" s="1"/>
      <c r="M263" s="52"/>
    </row>
    <row r="264" spans="1:13" s="22" customFormat="1" ht="17.25" customHeight="1" x14ac:dyDescent="0.15">
      <c r="A264" s="7"/>
      <c r="B264" s="7"/>
      <c r="C264" s="6"/>
      <c r="D264" s="53"/>
      <c r="E264" s="53"/>
      <c r="F264" s="53"/>
      <c r="G264" s="72"/>
      <c r="H264" s="8" t="s">
        <v>456</v>
      </c>
      <c r="I264" s="9"/>
      <c r="J264" s="56">
        <v>400000</v>
      </c>
      <c r="K264" s="72"/>
      <c r="L264" s="1"/>
      <c r="M264" s="52"/>
    </row>
    <row r="265" spans="1:13" s="22" customFormat="1" ht="17.25" customHeight="1" x14ac:dyDescent="0.15">
      <c r="A265" s="7"/>
      <c r="B265" s="7"/>
      <c r="C265" s="6" t="s">
        <v>16</v>
      </c>
      <c r="D265" s="53">
        <v>400000</v>
      </c>
      <c r="E265" s="53">
        <v>396000</v>
      </c>
      <c r="F265" s="51">
        <f>SUM(J265)</f>
        <v>771000</v>
      </c>
      <c r="G265" s="72">
        <f>F265-D265</f>
        <v>371000</v>
      </c>
      <c r="H265" s="8" t="s">
        <v>88</v>
      </c>
      <c r="I265" s="9" t="s">
        <v>555</v>
      </c>
      <c r="J265" s="56">
        <f>5140*150</f>
        <v>771000</v>
      </c>
      <c r="K265" s="72"/>
      <c r="L265" s="1"/>
      <c r="M265" s="52"/>
    </row>
    <row r="266" spans="1:13" s="22" customFormat="1" ht="17.25" customHeight="1" x14ac:dyDescent="0.15">
      <c r="A266" s="7"/>
      <c r="B266" s="7"/>
      <c r="C266" s="12" t="s">
        <v>58</v>
      </c>
      <c r="D266" s="51">
        <v>1500000</v>
      </c>
      <c r="E266" s="51">
        <v>3460000</v>
      </c>
      <c r="F266" s="51">
        <f>SUM(J266)</f>
        <v>3000000</v>
      </c>
      <c r="G266" s="74">
        <f>F266-D266</f>
        <v>1500000</v>
      </c>
      <c r="H266" s="13" t="s">
        <v>100</v>
      </c>
      <c r="I266" s="14" t="s">
        <v>554</v>
      </c>
      <c r="J266" s="58">
        <f>60000*10*5</f>
        <v>3000000</v>
      </c>
      <c r="K266" s="74"/>
      <c r="L266" s="1"/>
      <c r="M266" s="52"/>
    </row>
    <row r="267" spans="1:13" s="22" customFormat="1" ht="17.25" customHeight="1" x14ac:dyDescent="0.15">
      <c r="A267" s="7"/>
      <c r="B267" s="7"/>
      <c r="C267" s="6" t="s">
        <v>63</v>
      </c>
      <c r="D267" s="53">
        <v>1000000</v>
      </c>
      <c r="E267" s="53">
        <v>1203540</v>
      </c>
      <c r="F267" s="53">
        <f>J267</f>
        <v>2000000</v>
      </c>
      <c r="G267" s="72">
        <f t="shared" ref="G267:G274" si="11">F267-D267</f>
        <v>1000000</v>
      </c>
      <c r="H267" s="8" t="s">
        <v>64</v>
      </c>
      <c r="I267" s="9"/>
      <c r="J267" s="56">
        <v>2000000</v>
      </c>
      <c r="K267" s="72"/>
      <c r="L267" s="1"/>
      <c r="M267" s="52"/>
    </row>
    <row r="268" spans="1:13" s="22" customFormat="1" ht="17.25" customHeight="1" x14ac:dyDescent="0.15">
      <c r="A268" s="7"/>
      <c r="B268" s="7"/>
      <c r="C268" s="12" t="s">
        <v>45</v>
      </c>
      <c r="D268" s="51">
        <v>1000000</v>
      </c>
      <c r="E268" s="51">
        <v>1148000</v>
      </c>
      <c r="F268" s="51">
        <f>SUM(J268)</f>
        <v>2000000</v>
      </c>
      <c r="G268" s="74">
        <f>F268-D268</f>
        <v>1000000</v>
      </c>
      <c r="H268" s="13" t="s">
        <v>60</v>
      </c>
      <c r="I268" s="14"/>
      <c r="J268" s="58">
        <v>2000000</v>
      </c>
      <c r="K268" s="74"/>
      <c r="L268" s="1"/>
      <c r="M268" s="52"/>
    </row>
    <row r="269" spans="1:13" s="22" customFormat="1" ht="17.25" customHeight="1" x14ac:dyDescent="0.15">
      <c r="A269" s="7"/>
      <c r="B269" s="7"/>
      <c r="C269" s="12" t="s">
        <v>61</v>
      </c>
      <c r="D269" s="51">
        <v>1000000</v>
      </c>
      <c r="E269" s="51">
        <v>1341700</v>
      </c>
      <c r="F269" s="51">
        <f>SUM(J269)</f>
        <v>2000000</v>
      </c>
      <c r="G269" s="74">
        <f t="shared" si="11"/>
        <v>1000000</v>
      </c>
      <c r="H269" s="13" t="s">
        <v>81</v>
      </c>
      <c r="I269" s="14"/>
      <c r="J269" s="58">
        <v>2000000</v>
      </c>
      <c r="K269" s="74"/>
      <c r="L269" s="1"/>
      <c r="M269" s="52"/>
    </row>
    <row r="270" spans="1:13" s="22" customFormat="1" ht="17.25" customHeight="1" x14ac:dyDescent="0.15">
      <c r="A270" s="87"/>
      <c r="B270" s="7"/>
      <c r="C270" s="6" t="s">
        <v>37</v>
      </c>
      <c r="D270" s="53">
        <v>0</v>
      </c>
      <c r="E270" s="53">
        <v>0</v>
      </c>
      <c r="F270" s="53">
        <f>SUM(J270)</f>
        <v>2000000</v>
      </c>
      <c r="G270" s="72">
        <f>F270-D270</f>
        <v>2000000</v>
      </c>
      <c r="H270" s="8" t="s">
        <v>38</v>
      </c>
      <c r="I270" s="9"/>
      <c r="J270" s="56">
        <v>2000000</v>
      </c>
      <c r="K270" s="72"/>
      <c r="L270" s="1"/>
      <c r="M270" s="52"/>
    </row>
    <row r="271" spans="1:13" s="22" customFormat="1" ht="17.25" customHeight="1" x14ac:dyDescent="0.15">
      <c r="A271" s="7"/>
      <c r="B271" s="7"/>
      <c r="C271" s="6" t="s">
        <v>7</v>
      </c>
      <c r="D271" s="53">
        <v>1500000</v>
      </c>
      <c r="E271" s="53">
        <v>1500000</v>
      </c>
      <c r="F271" s="53">
        <f>SUM(J271)</f>
        <v>1500000</v>
      </c>
      <c r="G271" s="72">
        <f t="shared" si="11"/>
        <v>0</v>
      </c>
      <c r="H271" s="8" t="s">
        <v>101</v>
      </c>
      <c r="I271" s="9"/>
      <c r="J271" s="56">
        <v>1500000</v>
      </c>
      <c r="K271" s="72"/>
      <c r="L271" s="1"/>
      <c r="M271" s="52"/>
    </row>
    <row r="272" spans="1:13" s="22" customFormat="1" ht="17.25" customHeight="1" x14ac:dyDescent="0.15">
      <c r="A272" s="6"/>
      <c r="B272" s="6"/>
      <c r="C272" s="6" t="s">
        <v>67</v>
      </c>
      <c r="D272" s="53">
        <v>5000000</v>
      </c>
      <c r="E272" s="53">
        <v>620000</v>
      </c>
      <c r="F272" s="53">
        <f>SUM(J272)</f>
        <v>2000000</v>
      </c>
      <c r="G272" s="72">
        <f t="shared" si="11"/>
        <v>-3000000</v>
      </c>
      <c r="H272" s="8" t="s">
        <v>68</v>
      </c>
      <c r="I272" s="9"/>
      <c r="J272" s="56">
        <v>2000000</v>
      </c>
      <c r="K272" s="72"/>
      <c r="L272" s="1"/>
      <c r="M272" s="52"/>
    </row>
    <row r="273" spans="1:13" s="22" customFormat="1" ht="17.25" customHeight="1" x14ac:dyDescent="0.15">
      <c r="A273" s="7" t="s">
        <v>51</v>
      </c>
      <c r="B273" s="7" t="s">
        <v>232</v>
      </c>
      <c r="C273" s="6"/>
      <c r="D273" s="53">
        <v>47870000</v>
      </c>
      <c r="E273" s="53">
        <f>SUM(E274:E301)</f>
        <v>44488479</v>
      </c>
      <c r="F273" s="53">
        <f>SUM(F274:F301)</f>
        <v>37420700</v>
      </c>
      <c r="G273" s="72">
        <f>SUM(G274:G301)</f>
        <v>-10449300</v>
      </c>
      <c r="H273" s="8"/>
      <c r="I273" s="9"/>
      <c r="J273" s="58"/>
      <c r="K273" s="72"/>
      <c r="L273" s="1"/>
      <c r="M273" s="52"/>
    </row>
    <row r="274" spans="1:13" s="22" customFormat="1" ht="17.25" customHeight="1" x14ac:dyDescent="0.15">
      <c r="A274" s="7"/>
      <c r="B274" s="7" t="s">
        <v>102</v>
      </c>
      <c r="C274" s="7" t="s">
        <v>71</v>
      </c>
      <c r="D274" s="26">
        <v>1430000</v>
      </c>
      <c r="E274" s="26">
        <v>3317200</v>
      </c>
      <c r="F274" s="26">
        <f>SUM(J274:J278)</f>
        <v>1680000</v>
      </c>
      <c r="G274" s="75">
        <f t="shared" si="11"/>
        <v>250000</v>
      </c>
      <c r="H274" s="10" t="s">
        <v>97</v>
      </c>
      <c r="I274" s="11" t="s">
        <v>208</v>
      </c>
      <c r="J274" s="57">
        <f>110000*2</f>
        <v>220000</v>
      </c>
      <c r="K274" s="75"/>
      <c r="L274" s="1"/>
      <c r="M274" s="52"/>
    </row>
    <row r="275" spans="1:13" s="22" customFormat="1" ht="17.25" customHeight="1" x14ac:dyDescent="0.15">
      <c r="A275" s="7"/>
      <c r="B275" s="7" t="s">
        <v>466</v>
      </c>
      <c r="C275" s="7"/>
      <c r="D275" s="26"/>
      <c r="E275" s="26"/>
      <c r="F275" s="26"/>
      <c r="G275" s="75"/>
      <c r="H275" s="10"/>
      <c r="I275" s="11" t="s">
        <v>209</v>
      </c>
      <c r="J275" s="57">
        <f>99000*2</f>
        <v>198000</v>
      </c>
      <c r="K275" s="75"/>
      <c r="L275" s="1"/>
      <c r="M275" s="52"/>
    </row>
    <row r="276" spans="1:13" s="22" customFormat="1" ht="17.25" customHeight="1" x14ac:dyDescent="0.15">
      <c r="A276" s="7"/>
      <c r="B276" s="7"/>
      <c r="C276" s="7"/>
      <c r="D276" s="26"/>
      <c r="E276" s="26"/>
      <c r="F276" s="26"/>
      <c r="G276" s="75"/>
      <c r="H276" s="10"/>
      <c r="I276" s="11" t="s">
        <v>210</v>
      </c>
      <c r="J276" s="57">
        <f>77000*4</f>
        <v>308000</v>
      </c>
      <c r="K276" s="75"/>
      <c r="L276" s="1"/>
      <c r="M276" s="52"/>
    </row>
    <row r="277" spans="1:13" s="22" customFormat="1" ht="17.25" customHeight="1" x14ac:dyDescent="0.15">
      <c r="A277" s="7"/>
      <c r="B277" s="7"/>
      <c r="C277" s="7"/>
      <c r="D277" s="26"/>
      <c r="E277" s="26"/>
      <c r="F277" s="26"/>
      <c r="G277" s="75"/>
      <c r="H277" s="24" t="s">
        <v>207</v>
      </c>
      <c r="I277" s="11" t="s">
        <v>211</v>
      </c>
      <c r="J277" s="57">
        <f>22000*32</f>
        <v>704000</v>
      </c>
      <c r="K277" s="75"/>
      <c r="L277" s="1"/>
      <c r="M277" s="52"/>
    </row>
    <row r="278" spans="1:13" s="22" customFormat="1" ht="17.25" customHeight="1" x14ac:dyDescent="0.15">
      <c r="A278" s="7"/>
      <c r="B278" s="7"/>
      <c r="C278" s="7"/>
      <c r="D278" s="26"/>
      <c r="E278" s="26"/>
      <c r="F278" s="26"/>
      <c r="G278" s="75"/>
      <c r="H278" s="24" t="s">
        <v>447</v>
      </c>
      <c r="I278" s="11" t="s">
        <v>448</v>
      </c>
      <c r="J278" s="57">
        <v>250000</v>
      </c>
      <c r="K278" s="75"/>
      <c r="L278" s="1"/>
      <c r="M278" s="52"/>
    </row>
    <row r="279" spans="1:13" s="22" customFormat="1" ht="17.25" customHeight="1" x14ac:dyDescent="0.15">
      <c r="A279" s="7"/>
      <c r="B279" s="7"/>
      <c r="C279" s="18" t="s">
        <v>55</v>
      </c>
      <c r="D279" s="69">
        <v>9580000</v>
      </c>
      <c r="E279" s="69">
        <v>7664500</v>
      </c>
      <c r="F279" s="69">
        <f>SUM(J279:J286)</f>
        <v>6740000</v>
      </c>
      <c r="G279" s="73">
        <f>F279-D279</f>
        <v>-2840000</v>
      </c>
      <c r="H279" s="15" t="s">
        <v>77</v>
      </c>
      <c r="I279" s="16" t="s">
        <v>449</v>
      </c>
      <c r="J279" s="59">
        <f>30000*21*5</f>
        <v>3150000</v>
      </c>
      <c r="K279" s="73"/>
      <c r="L279" s="1"/>
      <c r="M279" s="52"/>
    </row>
    <row r="280" spans="1:13" s="22" customFormat="1" ht="17.25" customHeight="1" x14ac:dyDescent="0.15">
      <c r="A280" s="7"/>
      <c r="B280" s="7"/>
      <c r="C280" s="7"/>
      <c r="D280" s="26"/>
      <c r="E280" s="26"/>
      <c r="F280" s="26"/>
      <c r="G280" s="75"/>
      <c r="H280" s="10" t="s">
        <v>78</v>
      </c>
      <c r="I280" s="11" t="s">
        <v>450</v>
      </c>
      <c r="J280" s="57">
        <f>15000*7*5</f>
        <v>525000</v>
      </c>
      <c r="K280" s="75"/>
      <c r="L280" s="1"/>
      <c r="M280" s="52"/>
    </row>
    <row r="281" spans="1:13" s="22" customFormat="1" ht="17.25" customHeight="1" x14ac:dyDescent="0.15">
      <c r="A281" s="7"/>
      <c r="B281" s="7"/>
      <c r="C281" s="7"/>
      <c r="D281" s="26"/>
      <c r="E281" s="26"/>
      <c r="F281" s="26"/>
      <c r="G281" s="75"/>
      <c r="H281" s="10"/>
      <c r="I281" s="11" t="s">
        <v>451</v>
      </c>
      <c r="J281" s="57">
        <f>10000*14*5</f>
        <v>700000</v>
      </c>
      <c r="K281" s="75"/>
      <c r="L281" s="1"/>
      <c r="M281" s="52"/>
    </row>
    <row r="282" spans="1:13" s="22" customFormat="1" ht="17.25" customHeight="1" x14ac:dyDescent="0.15">
      <c r="A282" s="7"/>
      <c r="B282" s="7"/>
      <c r="C282" s="7"/>
      <c r="D282" s="26"/>
      <c r="E282" s="26"/>
      <c r="F282" s="26"/>
      <c r="G282" s="75"/>
      <c r="H282" s="10" t="s">
        <v>56</v>
      </c>
      <c r="I282" s="11" t="s">
        <v>452</v>
      </c>
      <c r="J282" s="57">
        <f>30000*20</f>
        <v>600000</v>
      </c>
      <c r="K282" s="75"/>
      <c r="L282" s="1"/>
      <c r="M282" s="52"/>
    </row>
    <row r="283" spans="1:13" s="22" customFormat="1" ht="17.25" customHeight="1" x14ac:dyDescent="0.15">
      <c r="A283" s="7"/>
      <c r="B283" s="7"/>
      <c r="C283" s="7"/>
      <c r="D283" s="26"/>
      <c r="E283" s="26"/>
      <c r="F283" s="26"/>
      <c r="G283" s="75"/>
      <c r="H283" s="10"/>
      <c r="I283" s="11" t="s">
        <v>453</v>
      </c>
      <c r="J283" s="57">
        <f>50000*1</f>
        <v>50000</v>
      </c>
      <c r="K283" s="75"/>
      <c r="L283" s="1"/>
      <c r="M283" s="52"/>
    </row>
    <row r="284" spans="1:13" s="22" customFormat="1" ht="17.25" customHeight="1" x14ac:dyDescent="0.15">
      <c r="A284" s="7"/>
      <c r="B284" s="7"/>
      <c r="C284" s="7"/>
      <c r="D284" s="26"/>
      <c r="E284" s="26"/>
      <c r="F284" s="26"/>
      <c r="G284" s="75"/>
      <c r="H284" s="10" t="s">
        <v>265</v>
      </c>
      <c r="I284" s="11" t="s">
        <v>454</v>
      </c>
      <c r="J284" s="57">
        <f>50000*4*5</f>
        <v>1000000</v>
      </c>
      <c r="K284" s="75"/>
      <c r="L284" s="1"/>
      <c r="M284" s="52"/>
    </row>
    <row r="285" spans="1:13" s="22" customFormat="1" ht="17.25" customHeight="1" x14ac:dyDescent="0.15">
      <c r="A285" s="7"/>
      <c r="B285" s="7"/>
      <c r="C285" s="7"/>
      <c r="D285" s="26"/>
      <c r="E285" s="26"/>
      <c r="F285" s="26"/>
      <c r="G285" s="75"/>
      <c r="H285" s="10" t="s">
        <v>264</v>
      </c>
      <c r="I285" s="11" t="s">
        <v>455</v>
      </c>
      <c r="J285" s="57">
        <f>3000*21*5</f>
        <v>315000</v>
      </c>
      <c r="K285" s="75"/>
      <c r="L285" s="1"/>
      <c r="M285" s="52"/>
    </row>
    <row r="286" spans="1:13" s="22" customFormat="1" ht="17.25" customHeight="1" x14ac:dyDescent="0.15">
      <c r="A286" s="7"/>
      <c r="B286" s="7"/>
      <c r="C286" s="6"/>
      <c r="D286" s="53"/>
      <c r="E286" s="53"/>
      <c r="F286" s="53"/>
      <c r="G286" s="72"/>
      <c r="H286" s="8" t="s">
        <v>456</v>
      </c>
      <c r="I286" s="9"/>
      <c r="J286" s="56">
        <v>400000</v>
      </c>
      <c r="K286" s="72"/>
      <c r="L286" s="1"/>
      <c r="M286" s="52"/>
    </row>
    <row r="287" spans="1:13" s="22" customFormat="1" ht="17.25" customHeight="1" x14ac:dyDescent="0.15">
      <c r="A287" s="7"/>
      <c r="B287" s="7"/>
      <c r="C287" s="6" t="s">
        <v>54</v>
      </c>
      <c r="D287" s="53">
        <v>8000000</v>
      </c>
      <c r="E287" s="53">
        <v>14737900</v>
      </c>
      <c r="F287" s="53">
        <f>SUM(J287)</f>
        <v>0</v>
      </c>
      <c r="G287" s="72">
        <f>F287-D287</f>
        <v>-8000000</v>
      </c>
      <c r="H287" s="8"/>
      <c r="I287" s="9"/>
      <c r="J287" s="56"/>
      <c r="K287" s="72"/>
      <c r="L287" s="1"/>
      <c r="M287" s="52"/>
    </row>
    <row r="288" spans="1:13" s="22" customFormat="1" ht="17.25" customHeight="1" x14ac:dyDescent="0.15">
      <c r="A288" s="7"/>
      <c r="B288" s="7"/>
      <c r="C288" s="18" t="s">
        <v>16</v>
      </c>
      <c r="D288" s="69">
        <v>3000000</v>
      </c>
      <c r="E288" s="69">
        <v>3449000</v>
      </c>
      <c r="F288" s="69">
        <f>SUM(J288:J289)</f>
        <v>5078700</v>
      </c>
      <c r="G288" s="73">
        <f>F288-D288</f>
        <v>2078700</v>
      </c>
      <c r="H288" s="15" t="s">
        <v>103</v>
      </c>
      <c r="I288" s="16" t="s">
        <v>465</v>
      </c>
      <c r="J288" s="59">
        <f>15400*300</f>
        <v>4620000</v>
      </c>
      <c r="K288" s="73"/>
      <c r="L288" s="1"/>
      <c r="M288" s="52"/>
    </row>
    <row r="289" spans="1:13" s="22" customFormat="1" ht="17.25" customHeight="1" x14ac:dyDescent="0.15">
      <c r="A289" s="7"/>
      <c r="B289" s="7"/>
      <c r="C289" s="6"/>
      <c r="D289" s="53"/>
      <c r="E289" s="53"/>
      <c r="F289" s="53"/>
      <c r="G289" s="72"/>
      <c r="H289" s="8" t="s">
        <v>79</v>
      </c>
      <c r="I289" s="9"/>
      <c r="J289" s="56">
        <f>95700+363000</f>
        <v>458700</v>
      </c>
      <c r="K289" s="72"/>
      <c r="L289" s="1"/>
      <c r="M289" s="52"/>
    </row>
    <row r="290" spans="1:13" s="22" customFormat="1" ht="17.25" customHeight="1" x14ac:dyDescent="0.15">
      <c r="A290" s="7"/>
      <c r="B290" s="7"/>
      <c r="C290" s="7" t="s">
        <v>35</v>
      </c>
      <c r="D290" s="26">
        <v>1860000</v>
      </c>
      <c r="E290" s="26">
        <v>2730520</v>
      </c>
      <c r="F290" s="26">
        <f>SUM(J290:J291)</f>
        <v>4092000</v>
      </c>
      <c r="G290" s="75">
        <f>F290-D290</f>
        <v>2232000</v>
      </c>
      <c r="H290" s="10" t="s">
        <v>206</v>
      </c>
      <c r="I290" s="11" t="s">
        <v>458</v>
      </c>
      <c r="J290" s="57">
        <f>198000*2*2</f>
        <v>792000</v>
      </c>
      <c r="K290" s="75"/>
      <c r="L290" s="1"/>
      <c r="M290" s="52"/>
    </row>
    <row r="291" spans="1:13" s="22" customFormat="1" ht="17.25" customHeight="1" x14ac:dyDescent="0.15">
      <c r="A291" s="7"/>
      <c r="B291" s="7"/>
      <c r="C291" s="6"/>
      <c r="D291" s="53"/>
      <c r="E291" s="53"/>
      <c r="F291" s="53"/>
      <c r="G291" s="72"/>
      <c r="H291" s="8" t="s">
        <v>457</v>
      </c>
      <c r="I291" s="9"/>
      <c r="J291" s="56">
        <v>3300000</v>
      </c>
      <c r="K291" s="72"/>
      <c r="L291" s="1"/>
      <c r="M291" s="52"/>
    </row>
    <row r="292" spans="1:13" s="22" customFormat="1" ht="17.25" customHeight="1" x14ac:dyDescent="0.15">
      <c r="A292" s="7"/>
      <c r="B292" s="7"/>
      <c r="C292" s="12" t="s">
        <v>65</v>
      </c>
      <c r="D292" s="51">
        <v>4500000</v>
      </c>
      <c r="E292" s="51">
        <v>4715000</v>
      </c>
      <c r="F292" s="51">
        <f>SUM(J292:J292)</f>
        <v>0</v>
      </c>
      <c r="G292" s="74">
        <f>F292-D292</f>
        <v>-4500000</v>
      </c>
      <c r="H292" s="13"/>
      <c r="I292" s="14"/>
      <c r="J292" s="31"/>
      <c r="K292" s="74"/>
      <c r="L292" s="1"/>
      <c r="M292" s="52"/>
    </row>
    <row r="293" spans="1:13" s="22" customFormat="1" ht="17.25" customHeight="1" x14ac:dyDescent="0.15">
      <c r="A293" s="7"/>
      <c r="B293" s="7"/>
      <c r="C293" s="6" t="s">
        <v>61</v>
      </c>
      <c r="D293" s="53">
        <v>1000000</v>
      </c>
      <c r="E293" s="53">
        <v>2715859</v>
      </c>
      <c r="F293" s="53">
        <f>SUM(J293)</f>
        <v>2000000</v>
      </c>
      <c r="G293" s="72">
        <f t="shared" ref="G293:G301" si="12">F293-D293</f>
        <v>1000000</v>
      </c>
      <c r="H293" s="8" t="s">
        <v>81</v>
      </c>
      <c r="I293" s="9"/>
      <c r="J293" s="56">
        <v>2000000</v>
      </c>
      <c r="K293" s="72"/>
      <c r="L293" s="1"/>
      <c r="M293" s="52"/>
    </row>
    <row r="294" spans="1:13" s="22" customFormat="1" ht="17.25" customHeight="1" x14ac:dyDescent="0.15">
      <c r="A294" s="7"/>
      <c r="B294" s="7"/>
      <c r="C294" s="12" t="s">
        <v>45</v>
      </c>
      <c r="D294" s="51">
        <v>1000000</v>
      </c>
      <c r="E294" s="51">
        <v>1549000</v>
      </c>
      <c r="F294" s="51">
        <f>SUM(J294:J294)</f>
        <v>2000000</v>
      </c>
      <c r="G294" s="74">
        <f t="shared" si="12"/>
        <v>1000000</v>
      </c>
      <c r="H294" s="13" t="s">
        <v>60</v>
      </c>
      <c r="I294" s="14" t="s">
        <v>463</v>
      </c>
      <c r="J294" s="58">
        <v>2000000</v>
      </c>
      <c r="K294" s="74"/>
      <c r="L294" s="1"/>
      <c r="M294" s="52"/>
    </row>
    <row r="295" spans="1:13" s="22" customFormat="1" ht="17.25" customHeight="1" x14ac:dyDescent="0.15">
      <c r="A295" s="7"/>
      <c r="B295" s="7"/>
      <c r="C295" s="12" t="s">
        <v>63</v>
      </c>
      <c r="D295" s="51">
        <v>1000000</v>
      </c>
      <c r="E295" s="51">
        <v>1198000</v>
      </c>
      <c r="F295" s="51">
        <f>J295</f>
        <v>2000000</v>
      </c>
      <c r="G295" s="74">
        <f t="shared" si="12"/>
        <v>1000000</v>
      </c>
      <c r="H295" s="13" t="s">
        <v>80</v>
      </c>
      <c r="I295" s="14" t="s">
        <v>463</v>
      </c>
      <c r="J295" s="58">
        <v>2000000</v>
      </c>
      <c r="K295" s="74"/>
      <c r="L295" s="1"/>
      <c r="M295" s="52"/>
    </row>
    <row r="296" spans="1:13" s="22" customFormat="1" ht="17.25" customHeight="1" x14ac:dyDescent="0.15">
      <c r="A296" s="7"/>
      <c r="B296" s="7"/>
      <c r="C296" s="6" t="s">
        <v>58</v>
      </c>
      <c r="D296" s="53">
        <v>1500000</v>
      </c>
      <c r="E296" s="53">
        <v>1755000</v>
      </c>
      <c r="F296" s="53">
        <f>SUM(J296)</f>
        <v>2500000</v>
      </c>
      <c r="G296" s="74">
        <f t="shared" si="12"/>
        <v>1000000</v>
      </c>
      <c r="H296" s="8" t="s">
        <v>100</v>
      </c>
      <c r="I296" s="9" t="s">
        <v>464</v>
      </c>
      <c r="J296" s="56">
        <f>50000*10*5</f>
        <v>2500000</v>
      </c>
      <c r="K296" s="74"/>
      <c r="L296" s="1"/>
      <c r="M296" s="52"/>
    </row>
    <row r="297" spans="1:13" s="22" customFormat="1" ht="17.25" customHeight="1" x14ac:dyDescent="0.15">
      <c r="A297" s="7"/>
      <c r="B297" s="7"/>
      <c r="C297" s="7" t="s">
        <v>37</v>
      </c>
      <c r="D297" s="26">
        <v>10000000</v>
      </c>
      <c r="E297" s="26">
        <v>0</v>
      </c>
      <c r="F297" s="26">
        <f>SUM(J297:J300)</f>
        <v>10330000</v>
      </c>
      <c r="G297" s="73">
        <f t="shared" si="12"/>
        <v>330000</v>
      </c>
      <c r="H297" s="10" t="s">
        <v>95</v>
      </c>
      <c r="I297" s="11" t="s">
        <v>462</v>
      </c>
      <c r="J297" s="57">
        <v>2000000</v>
      </c>
      <c r="K297" s="73"/>
      <c r="L297" s="1"/>
      <c r="M297" s="52"/>
    </row>
    <row r="298" spans="1:13" s="22" customFormat="1" ht="17.25" customHeight="1" x14ac:dyDescent="0.15">
      <c r="A298" s="7"/>
      <c r="B298" s="7"/>
      <c r="C298" s="7"/>
      <c r="D298" s="26"/>
      <c r="E298" s="26"/>
      <c r="F298" s="26"/>
      <c r="G298" s="75"/>
      <c r="H298" s="10" t="s">
        <v>38</v>
      </c>
      <c r="I298" s="11"/>
      <c r="J298" s="57">
        <v>3000000</v>
      </c>
      <c r="K298" s="75"/>
      <c r="L298" s="1"/>
      <c r="M298" s="52"/>
    </row>
    <row r="299" spans="1:13" s="22" customFormat="1" ht="17.25" customHeight="1" x14ac:dyDescent="0.15">
      <c r="A299" s="7"/>
      <c r="B299" s="7"/>
      <c r="C299" s="7"/>
      <c r="D299" s="26"/>
      <c r="E299" s="26"/>
      <c r="F299" s="26"/>
      <c r="G299" s="75"/>
      <c r="H299" s="10" t="s">
        <v>459</v>
      </c>
      <c r="I299" s="11" t="s">
        <v>460</v>
      </c>
      <c r="J299" s="57">
        <f>33000*10</f>
        <v>330000</v>
      </c>
      <c r="K299" s="75"/>
      <c r="L299" s="1"/>
      <c r="M299" s="52"/>
    </row>
    <row r="300" spans="1:13" s="22" customFormat="1" ht="17.25" customHeight="1" x14ac:dyDescent="0.15">
      <c r="A300" s="7"/>
      <c r="B300" s="7"/>
      <c r="C300" s="6"/>
      <c r="D300" s="53"/>
      <c r="E300" s="53"/>
      <c r="F300" s="53"/>
      <c r="G300" s="72"/>
      <c r="H300" s="8" t="s">
        <v>461</v>
      </c>
      <c r="I300" s="9"/>
      <c r="J300" s="56">
        <v>5000000</v>
      </c>
      <c r="K300" s="72"/>
      <c r="L300" s="1"/>
      <c r="M300" s="52"/>
    </row>
    <row r="301" spans="1:13" s="22" customFormat="1" ht="17.25" customHeight="1" x14ac:dyDescent="0.15">
      <c r="A301" s="6"/>
      <c r="B301" s="6"/>
      <c r="C301" s="6" t="s">
        <v>212</v>
      </c>
      <c r="D301" s="53">
        <v>5000000</v>
      </c>
      <c r="E301" s="53">
        <v>656500</v>
      </c>
      <c r="F301" s="53">
        <f>J301</f>
        <v>1000000</v>
      </c>
      <c r="G301" s="74">
        <f t="shared" si="12"/>
        <v>-4000000</v>
      </c>
      <c r="H301" s="8" t="s">
        <v>213</v>
      </c>
      <c r="I301" s="9"/>
      <c r="J301" s="56">
        <v>1000000</v>
      </c>
      <c r="K301" s="74"/>
      <c r="L301" s="1"/>
      <c r="M301" s="52"/>
    </row>
    <row r="302" spans="1:13" s="22" customFormat="1" ht="16.5" customHeight="1" x14ac:dyDescent="0.15">
      <c r="A302" s="7" t="s">
        <v>51</v>
      </c>
      <c r="B302" s="7" t="s">
        <v>341</v>
      </c>
      <c r="C302" s="6"/>
      <c r="D302" s="53">
        <v>44290000</v>
      </c>
      <c r="E302" s="53"/>
      <c r="F302" s="53">
        <f>SUM(F303:F332)</f>
        <v>70585400</v>
      </c>
      <c r="G302" s="72">
        <f>SUM(G303:G332)</f>
        <v>26295400</v>
      </c>
      <c r="H302" s="8"/>
      <c r="I302" s="9"/>
      <c r="J302" s="58"/>
      <c r="K302" s="72"/>
      <c r="L302" s="1"/>
      <c r="M302" s="52"/>
    </row>
    <row r="303" spans="1:13" s="22" customFormat="1" ht="16.5" customHeight="1" x14ac:dyDescent="0.15">
      <c r="A303" s="7"/>
      <c r="B303" s="7" t="s">
        <v>102</v>
      </c>
      <c r="C303" s="7" t="s">
        <v>71</v>
      </c>
      <c r="D303" s="26">
        <v>1430000</v>
      </c>
      <c r="E303" s="26">
        <v>0</v>
      </c>
      <c r="F303" s="26">
        <f>SUM(J303:J306)</f>
        <v>1830400</v>
      </c>
      <c r="G303" s="75">
        <f>F303-D303</f>
        <v>400400</v>
      </c>
      <c r="H303" s="10" t="s">
        <v>97</v>
      </c>
      <c r="I303" s="11" t="s">
        <v>556</v>
      </c>
      <c r="J303" s="57">
        <f>165000*2</f>
        <v>330000</v>
      </c>
      <c r="K303" s="75"/>
      <c r="L303" s="1"/>
      <c r="M303" s="52"/>
    </row>
    <row r="304" spans="1:13" s="22" customFormat="1" ht="16.5" customHeight="1" x14ac:dyDescent="0.15">
      <c r="A304" s="7"/>
      <c r="B304" s="7"/>
      <c r="C304" s="7"/>
      <c r="D304" s="26"/>
      <c r="E304" s="26"/>
      <c r="F304" s="26"/>
      <c r="G304" s="75"/>
      <c r="H304" s="10"/>
      <c r="I304" s="11" t="s">
        <v>557</v>
      </c>
      <c r="J304" s="57">
        <f>143000*2</f>
        <v>286000</v>
      </c>
      <c r="K304" s="75"/>
      <c r="L304" s="1"/>
      <c r="M304" s="52"/>
    </row>
    <row r="305" spans="1:13" s="22" customFormat="1" ht="16.5" customHeight="1" x14ac:dyDescent="0.15">
      <c r="A305" s="7"/>
      <c r="B305" s="7"/>
      <c r="C305" s="7"/>
      <c r="D305" s="26"/>
      <c r="E305" s="26"/>
      <c r="F305" s="26"/>
      <c r="G305" s="75"/>
      <c r="H305" s="10"/>
      <c r="I305" s="11" t="s">
        <v>558</v>
      </c>
      <c r="J305" s="57">
        <f>110000*4</f>
        <v>440000</v>
      </c>
      <c r="K305" s="75"/>
      <c r="L305" s="1"/>
      <c r="M305" s="52"/>
    </row>
    <row r="306" spans="1:13" s="22" customFormat="1" ht="16.5" customHeight="1" x14ac:dyDescent="0.15">
      <c r="A306" s="7"/>
      <c r="B306" s="7"/>
      <c r="C306" s="7"/>
      <c r="D306" s="26"/>
      <c r="E306" s="26"/>
      <c r="F306" s="26"/>
      <c r="G306" s="75"/>
      <c r="H306" s="24" t="s">
        <v>207</v>
      </c>
      <c r="I306" s="11" t="s">
        <v>559</v>
      </c>
      <c r="J306" s="57">
        <f>24200*32</f>
        <v>774400</v>
      </c>
      <c r="K306" s="75"/>
      <c r="L306" s="1"/>
      <c r="M306" s="52"/>
    </row>
    <row r="307" spans="1:13" s="22" customFormat="1" ht="16.5" customHeight="1" x14ac:dyDescent="0.15">
      <c r="A307" s="87"/>
      <c r="B307" s="87"/>
      <c r="C307" s="18" t="s">
        <v>55</v>
      </c>
      <c r="D307" s="69">
        <v>6000000</v>
      </c>
      <c r="E307" s="69">
        <v>0</v>
      </c>
      <c r="F307" s="69">
        <f>SUM(J307:J315)</f>
        <v>7040000</v>
      </c>
      <c r="G307" s="73">
        <f>F307-D307</f>
        <v>1040000</v>
      </c>
      <c r="H307" s="15" t="s">
        <v>77</v>
      </c>
      <c r="I307" s="16" t="s">
        <v>449</v>
      </c>
      <c r="J307" s="59">
        <f>30000*21*5</f>
        <v>3150000</v>
      </c>
      <c r="K307" s="73"/>
      <c r="L307" s="1"/>
      <c r="M307" s="52"/>
    </row>
    <row r="308" spans="1:13" s="22" customFormat="1" ht="16.5" customHeight="1" x14ac:dyDescent="0.15">
      <c r="A308" s="7"/>
      <c r="B308" s="87"/>
      <c r="C308" s="7"/>
      <c r="D308" s="26"/>
      <c r="E308" s="26"/>
      <c r="F308" s="26"/>
      <c r="G308" s="75"/>
      <c r="H308" s="10" t="s">
        <v>78</v>
      </c>
      <c r="I308" s="11" t="s">
        <v>560</v>
      </c>
      <c r="J308" s="57">
        <f>15000*7*5</f>
        <v>525000</v>
      </c>
      <c r="K308" s="75"/>
      <c r="L308" s="1"/>
      <c r="M308" s="52"/>
    </row>
    <row r="309" spans="1:13" s="22" customFormat="1" ht="16.5" customHeight="1" x14ac:dyDescent="0.15">
      <c r="A309" s="7"/>
      <c r="B309" s="87"/>
      <c r="C309" s="7"/>
      <c r="D309" s="26"/>
      <c r="E309" s="26"/>
      <c r="F309" s="26"/>
      <c r="G309" s="75"/>
      <c r="H309" s="10"/>
      <c r="I309" s="11" t="s">
        <v>451</v>
      </c>
      <c r="J309" s="57">
        <f>10000*14*5</f>
        <v>700000</v>
      </c>
      <c r="K309" s="75"/>
      <c r="L309" s="1"/>
      <c r="M309" s="52"/>
    </row>
    <row r="310" spans="1:13" s="22" customFormat="1" ht="16.5" customHeight="1" x14ac:dyDescent="0.15">
      <c r="A310" s="7"/>
      <c r="B310" s="7"/>
      <c r="C310" s="7"/>
      <c r="D310" s="26"/>
      <c r="E310" s="26"/>
      <c r="F310" s="26"/>
      <c r="G310" s="75"/>
      <c r="H310" s="10" t="s">
        <v>56</v>
      </c>
      <c r="I310" s="11" t="s">
        <v>452</v>
      </c>
      <c r="J310" s="57">
        <f>30000*20</f>
        <v>600000</v>
      </c>
      <c r="K310" s="75"/>
      <c r="L310" s="1"/>
      <c r="M310" s="52"/>
    </row>
    <row r="311" spans="1:13" s="22" customFormat="1" ht="16.5" customHeight="1" x14ac:dyDescent="0.15">
      <c r="A311" s="7"/>
      <c r="B311" s="7"/>
      <c r="C311" s="7"/>
      <c r="D311" s="26"/>
      <c r="E311" s="26"/>
      <c r="F311" s="26"/>
      <c r="G311" s="75"/>
      <c r="H311" s="10"/>
      <c r="I311" s="11" t="s">
        <v>453</v>
      </c>
      <c r="J311" s="57">
        <v>50000</v>
      </c>
      <c r="K311" s="75"/>
      <c r="L311" s="1"/>
      <c r="M311" s="52"/>
    </row>
    <row r="312" spans="1:13" s="22" customFormat="1" ht="16.5" customHeight="1" x14ac:dyDescent="0.15">
      <c r="A312" s="7"/>
      <c r="B312" s="7"/>
      <c r="C312" s="7"/>
      <c r="D312" s="26"/>
      <c r="E312" s="26"/>
      <c r="F312" s="26"/>
      <c r="G312" s="75"/>
      <c r="H312" s="10" t="s">
        <v>57</v>
      </c>
      <c r="I312" s="11" t="s">
        <v>662</v>
      </c>
      <c r="J312" s="57">
        <f>50000*4*5</f>
        <v>1000000</v>
      </c>
      <c r="K312" s="75"/>
      <c r="L312" s="1"/>
      <c r="M312" s="52"/>
    </row>
    <row r="313" spans="1:13" s="22" customFormat="1" ht="16.5" customHeight="1" x14ac:dyDescent="0.15">
      <c r="A313" s="7"/>
      <c r="B313" s="7"/>
      <c r="C313" s="7"/>
      <c r="D313" s="26"/>
      <c r="E313" s="26"/>
      <c r="F313" s="26"/>
      <c r="G313" s="75"/>
      <c r="H313" s="10" t="s">
        <v>262</v>
      </c>
      <c r="I313" s="11" t="s">
        <v>455</v>
      </c>
      <c r="J313" s="57">
        <f>3000*21*5</f>
        <v>315000</v>
      </c>
      <c r="K313" s="75"/>
      <c r="L313" s="1"/>
      <c r="M313" s="52"/>
    </row>
    <row r="314" spans="1:13" s="22" customFormat="1" ht="16.5" customHeight="1" x14ac:dyDescent="0.15">
      <c r="A314" s="7"/>
      <c r="B314" s="7"/>
      <c r="C314" s="7"/>
      <c r="D314" s="26"/>
      <c r="E314" s="26"/>
      <c r="F314" s="26"/>
      <c r="G314" s="75"/>
      <c r="H314" s="10" t="s">
        <v>456</v>
      </c>
      <c r="I314" s="11"/>
      <c r="J314" s="57">
        <v>400000</v>
      </c>
      <c r="K314" s="75"/>
      <c r="L314" s="1"/>
      <c r="M314" s="52"/>
    </row>
    <row r="315" spans="1:13" s="22" customFormat="1" ht="16.5" customHeight="1" x14ac:dyDescent="0.15">
      <c r="A315" s="7"/>
      <c r="B315" s="7"/>
      <c r="C315" s="6"/>
      <c r="D315" s="53"/>
      <c r="E315" s="53"/>
      <c r="F315" s="53"/>
      <c r="G315" s="72"/>
      <c r="H315" s="8" t="s">
        <v>93</v>
      </c>
      <c r="I315" s="9"/>
      <c r="J315" s="56">
        <v>300000</v>
      </c>
      <c r="K315" s="72"/>
      <c r="L315" s="1"/>
      <c r="M315" s="52"/>
    </row>
    <row r="316" spans="1:13" s="22" customFormat="1" ht="16.5" customHeight="1" x14ac:dyDescent="0.15">
      <c r="A316" s="7"/>
      <c r="B316" s="7"/>
      <c r="C316" s="6" t="s">
        <v>54</v>
      </c>
      <c r="D316" s="53">
        <v>8000000</v>
      </c>
      <c r="E316" s="53">
        <v>0</v>
      </c>
      <c r="F316" s="53">
        <f>SUM(J316)</f>
        <v>0</v>
      </c>
      <c r="G316" s="72">
        <f>F316-D316</f>
        <v>-8000000</v>
      </c>
      <c r="H316" s="8"/>
      <c r="I316" s="9"/>
      <c r="J316" s="56"/>
      <c r="K316" s="72"/>
      <c r="L316" s="1"/>
      <c r="M316" s="52"/>
    </row>
    <row r="317" spans="1:13" s="22" customFormat="1" ht="16.5" customHeight="1" x14ac:dyDescent="0.15">
      <c r="A317" s="7"/>
      <c r="B317" s="7"/>
      <c r="C317" s="7" t="s">
        <v>16</v>
      </c>
      <c r="D317" s="26">
        <v>3000000</v>
      </c>
      <c r="E317" s="26">
        <v>0</v>
      </c>
      <c r="F317" s="26">
        <f>SUM(J317:J321)</f>
        <v>6095000</v>
      </c>
      <c r="G317" s="75">
        <f>F317-D317</f>
        <v>3095000</v>
      </c>
      <c r="H317" s="10" t="s">
        <v>103</v>
      </c>
      <c r="I317" s="11" t="s">
        <v>561</v>
      </c>
      <c r="J317" s="57">
        <f>12840*300</f>
        <v>3852000</v>
      </c>
      <c r="K317" s="75"/>
      <c r="L317" s="1"/>
      <c r="M317" s="52"/>
    </row>
    <row r="318" spans="1:13" s="22" customFormat="1" ht="16.5" customHeight="1" x14ac:dyDescent="0.15">
      <c r="A318" s="7"/>
      <c r="B318" s="7"/>
      <c r="C318" s="7"/>
      <c r="D318" s="26"/>
      <c r="E318" s="26"/>
      <c r="F318" s="26"/>
      <c r="G318" s="75"/>
      <c r="H318" s="10" t="s">
        <v>524</v>
      </c>
      <c r="I318" s="11" t="s">
        <v>525</v>
      </c>
      <c r="J318" s="57">
        <f>2200*200</f>
        <v>440000</v>
      </c>
      <c r="K318" s="75"/>
      <c r="L318" s="1"/>
      <c r="M318" s="52"/>
    </row>
    <row r="319" spans="1:13" s="22" customFormat="1" ht="16.5" customHeight="1" x14ac:dyDescent="0.15">
      <c r="A319" s="7"/>
      <c r="B319" s="7"/>
      <c r="C319" s="7"/>
      <c r="D319" s="26"/>
      <c r="E319" s="26"/>
      <c r="F319" s="26"/>
      <c r="G319" s="75"/>
      <c r="H319" s="10" t="s">
        <v>526</v>
      </c>
      <c r="I319" s="11" t="s">
        <v>527</v>
      </c>
      <c r="J319" s="57">
        <f>3630*100</f>
        <v>363000</v>
      </c>
      <c r="K319" s="75"/>
      <c r="L319" s="1"/>
      <c r="M319" s="52"/>
    </row>
    <row r="320" spans="1:13" s="22" customFormat="1" ht="16.5" customHeight="1" x14ac:dyDescent="0.15">
      <c r="A320" s="7"/>
      <c r="B320" s="7"/>
      <c r="C320" s="7"/>
      <c r="D320" s="26"/>
      <c r="E320" s="26"/>
      <c r="F320" s="26"/>
      <c r="G320" s="75"/>
      <c r="H320" s="10" t="s">
        <v>562</v>
      </c>
      <c r="I320" s="11"/>
      <c r="J320" s="57">
        <v>440000</v>
      </c>
      <c r="K320" s="75"/>
      <c r="L320" s="1"/>
      <c r="M320" s="52"/>
    </row>
    <row r="321" spans="1:13" s="22" customFormat="1" ht="16.5" customHeight="1" x14ac:dyDescent="0.15">
      <c r="A321" s="7"/>
      <c r="B321" s="7"/>
      <c r="C321" s="6"/>
      <c r="D321" s="53"/>
      <c r="E321" s="53"/>
      <c r="F321" s="53"/>
      <c r="G321" s="72"/>
      <c r="H321" s="8" t="s">
        <v>563</v>
      </c>
      <c r="I321" s="9"/>
      <c r="J321" s="56">
        <v>1000000</v>
      </c>
      <c r="K321" s="72"/>
      <c r="L321" s="1"/>
      <c r="M321" s="52"/>
    </row>
    <row r="322" spans="1:13" s="22" customFormat="1" ht="16.5" customHeight="1" x14ac:dyDescent="0.15">
      <c r="A322" s="7"/>
      <c r="B322" s="7"/>
      <c r="C322" s="6" t="s">
        <v>58</v>
      </c>
      <c r="D322" s="53">
        <v>1500000</v>
      </c>
      <c r="E322" s="53">
        <v>0</v>
      </c>
      <c r="F322" s="53">
        <f>SUM(J322)</f>
        <v>2500000</v>
      </c>
      <c r="G322" s="74">
        <f>F322-D322</f>
        <v>1000000</v>
      </c>
      <c r="H322" s="8" t="s">
        <v>59</v>
      </c>
      <c r="I322" s="9" t="s">
        <v>464</v>
      </c>
      <c r="J322" s="56">
        <f>50000*10*5</f>
        <v>2500000</v>
      </c>
      <c r="K322" s="74"/>
      <c r="L322" s="1"/>
      <c r="M322" s="52"/>
    </row>
    <row r="323" spans="1:13" s="22" customFormat="1" ht="16.5" customHeight="1" x14ac:dyDescent="0.15">
      <c r="A323" s="7"/>
      <c r="B323" s="7"/>
      <c r="C323" s="12" t="s">
        <v>63</v>
      </c>
      <c r="D323" s="51">
        <v>1000000</v>
      </c>
      <c r="E323" s="51">
        <v>0</v>
      </c>
      <c r="F323" s="51">
        <f>J323</f>
        <v>2000000</v>
      </c>
      <c r="G323" s="74">
        <f>F323-D323</f>
        <v>1000000</v>
      </c>
      <c r="H323" s="13" t="s">
        <v>80</v>
      </c>
      <c r="I323" s="14"/>
      <c r="J323" s="58">
        <v>2000000</v>
      </c>
      <c r="K323" s="74"/>
      <c r="L323" s="1"/>
      <c r="M323" s="52"/>
    </row>
    <row r="324" spans="1:13" s="22" customFormat="1" ht="16.5" customHeight="1" x14ac:dyDescent="0.15">
      <c r="A324" s="7"/>
      <c r="B324" s="7"/>
      <c r="C324" s="12" t="s">
        <v>45</v>
      </c>
      <c r="D324" s="51">
        <v>1000000</v>
      </c>
      <c r="E324" s="51">
        <v>0</v>
      </c>
      <c r="F324" s="51">
        <f>SUM(J324:J324)</f>
        <v>2000000</v>
      </c>
      <c r="G324" s="74">
        <f>F324-D324</f>
        <v>1000000</v>
      </c>
      <c r="H324" s="13" t="s">
        <v>60</v>
      </c>
      <c r="I324" s="14"/>
      <c r="J324" s="58">
        <v>2000000</v>
      </c>
      <c r="K324" s="74"/>
      <c r="L324" s="1"/>
      <c r="M324" s="52"/>
    </row>
    <row r="325" spans="1:13" s="22" customFormat="1" ht="16.5" customHeight="1" x14ac:dyDescent="0.15">
      <c r="A325" s="7"/>
      <c r="B325" s="7"/>
      <c r="C325" s="6" t="s">
        <v>61</v>
      </c>
      <c r="D325" s="53">
        <v>1000000</v>
      </c>
      <c r="E325" s="53">
        <v>0</v>
      </c>
      <c r="F325" s="53">
        <f>SUM(J325)</f>
        <v>2000000</v>
      </c>
      <c r="G325" s="72">
        <f>F325-D325</f>
        <v>1000000</v>
      </c>
      <c r="H325" s="8" t="s">
        <v>81</v>
      </c>
      <c r="I325" s="9"/>
      <c r="J325" s="58">
        <v>2000000</v>
      </c>
      <c r="K325" s="72"/>
      <c r="L325" s="1"/>
      <c r="M325" s="52"/>
    </row>
    <row r="326" spans="1:13" s="22" customFormat="1" ht="16.5" customHeight="1" x14ac:dyDescent="0.15">
      <c r="A326" s="7"/>
      <c r="B326" s="7"/>
      <c r="C326" s="7" t="s">
        <v>35</v>
      </c>
      <c r="D326" s="26">
        <v>1860000</v>
      </c>
      <c r="E326" s="26">
        <v>0</v>
      </c>
      <c r="F326" s="26">
        <f>SUM(J326:J327)</f>
        <v>4020000</v>
      </c>
      <c r="G326" s="75">
        <f>F326-D326</f>
        <v>2160000</v>
      </c>
      <c r="H326" s="10" t="s">
        <v>473</v>
      </c>
      <c r="I326" s="11" t="s">
        <v>564</v>
      </c>
      <c r="J326" s="57">
        <f>360000*2</f>
        <v>720000</v>
      </c>
      <c r="K326" s="75"/>
      <c r="L326" s="1"/>
      <c r="M326" s="52"/>
    </row>
    <row r="327" spans="1:13" s="22" customFormat="1" ht="16.5" customHeight="1" x14ac:dyDescent="0.15">
      <c r="A327" s="7"/>
      <c r="B327" s="7"/>
      <c r="C327" s="6"/>
      <c r="D327" s="53"/>
      <c r="E327" s="53"/>
      <c r="F327" s="53"/>
      <c r="G327" s="72"/>
      <c r="H327" s="8" t="s">
        <v>193</v>
      </c>
      <c r="I327" s="9"/>
      <c r="J327" s="56">
        <v>3300000</v>
      </c>
      <c r="K327" s="72"/>
      <c r="L327" s="1"/>
      <c r="M327" s="52"/>
    </row>
    <row r="328" spans="1:13" s="22" customFormat="1" ht="16.5" customHeight="1" x14ac:dyDescent="0.15">
      <c r="A328" s="7"/>
      <c r="B328" s="7"/>
      <c r="C328" s="7" t="s">
        <v>37</v>
      </c>
      <c r="D328" s="26">
        <v>10000000</v>
      </c>
      <c r="E328" s="26">
        <v>0</v>
      </c>
      <c r="F328" s="26">
        <f>SUM(J328:J330)</f>
        <v>40000000</v>
      </c>
      <c r="G328" s="73">
        <f>F328-D328</f>
        <v>30000000</v>
      </c>
      <c r="H328" s="10" t="s">
        <v>95</v>
      </c>
      <c r="I328" s="11"/>
      <c r="J328" s="57">
        <v>25000000</v>
      </c>
      <c r="K328" s="73"/>
      <c r="L328" s="1"/>
      <c r="M328" s="52"/>
    </row>
    <row r="329" spans="1:13" s="22" customFormat="1" ht="16.5" customHeight="1" x14ac:dyDescent="0.15">
      <c r="A329" s="7"/>
      <c r="B329" s="7"/>
      <c r="C329" s="7"/>
      <c r="D329" s="26"/>
      <c r="E329" s="26"/>
      <c r="F329" s="26"/>
      <c r="G329" s="75"/>
      <c r="H329" s="10" t="s">
        <v>38</v>
      </c>
      <c r="I329" s="11"/>
      <c r="J329" s="57">
        <v>5000000</v>
      </c>
      <c r="K329" s="75"/>
      <c r="L329" s="1"/>
      <c r="M329" s="52"/>
    </row>
    <row r="330" spans="1:13" s="22" customFormat="1" ht="16.5" customHeight="1" x14ac:dyDescent="0.15">
      <c r="A330" s="7"/>
      <c r="B330" s="7"/>
      <c r="C330" s="6"/>
      <c r="D330" s="53"/>
      <c r="E330" s="53"/>
      <c r="F330" s="53"/>
      <c r="G330" s="72"/>
      <c r="H330" s="8" t="s">
        <v>461</v>
      </c>
      <c r="I330" s="9"/>
      <c r="J330" s="56">
        <v>10000000</v>
      </c>
      <c r="K330" s="72"/>
      <c r="L330" s="1"/>
      <c r="M330" s="52"/>
    </row>
    <row r="331" spans="1:13" s="22" customFormat="1" ht="16.5" customHeight="1" x14ac:dyDescent="0.15">
      <c r="A331" s="7"/>
      <c r="B331" s="7"/>
      <c r="C331" s="12" t="s">
        <v>65</v>
      </c>
      <c r="D331" s="51">
        <v>4500000</v>
      </c>
      <c r="E331" s="51">
        <v>0</v>
      </c>
      <c r="F331" s="51">
        <f>SUM(J331:J331)</f>
        <v>1100000</v>
      </c>
      <c r="G331" s="74">
        <f>F331-D331</f>
        <v>-3400000</v>
      </c>
      <c r="H331" s="13" t="s">
        <v>66</v>
      </c>
      <c r="I331" s="14"/>
      <c r="J331" s="58">
        <v>1100000</v>
      </c>
      <c r="K331" s="74"/>
      <c r="L331" s="1"/>
      <c r="M331" s="52"/>
    </row>
    <row r="332" spans="1:13" s="22" customFormat="1" ht="16.5" customHeight="1" x14ac:dyDescent="0.15">
      <c r="A332" s="6"/>
      <c r="B332" s="6"/>
      <c r="C332" s="6" t="s">
        <v>212</v>
      </c>
      <c r="D332" s="53">
        <v>5000000</v>
      </c>
      <c r="E332" s="53">
        <v>0</v>
      </c>
      <c r="F332" s="53">
        <f>J332</f>
        <v>2000000</v>
      </c>
      <c r="G332" s="74">
        <f>F332-D332</f>
        <v>-3000000</v>
      </c>
      <c r="H332" s="8" t="s">
        <v>213</v>
      </c>
      <c r="I332" s="9"/>
      <c r="J332" s="58">
        <v>2000000</v>
      </c>
      <c r="K332" s="74"/>
      <c r="L332" s="1"/>
      <c r="M332" s="52"/>
    </row>
    <row r="333" spans="1:13" s="22" customFormat="1" ht="18" customHeight="1" x14ac:dyDescent="0.15">
      <c r="A333" s="7" t="s">
        <v>51</v>
      </c>
      <c r="B333" s="7" t="s">
        <v>154</v>
      </c>
      <c r="C333" s="6"/>
      <c r="D333" s="53">
        <v>32446000</v>
      </c>
      <c r="E333" s="53">
        <f>SUM(E334:E344)</f>
        <v>0</v>
      </c>
      <c r="F333" s="53">
        <f>SUM(F334:F344)</f>
        <v>0</v>
      </c>
      <c r="G333" s="72">
        <f>SUM(G334:G344)</f>
        <v>-32446000</v>
      </c>
      <c r="H333" s="8"/>
      <c r="I333" s="9"/>
      <c r="J333" s="56"/>
      <c r="K333" s="72"/>
      <c r="L333" s="1"/>
      <c r="M333" s="52"/>
    </row>
    <row r="334" spans="1:13" s="22" customFormat="1" ht="18" customHeight="1" x14ac:dyDescent="0.15">
      <c r="A334" s="7"/>
      <c r="B334" s="7" t="s">
        <v>102</v>
      </c>
      <c r="C334" s="12" t="s">
        <v>233</v>
      </c>
      <c r="D334" s="51">
        <v>1452000</v>
      </c>
      <c r="E334" s="51">
        <v>0</v>
      </c>
      <c r="F334" s="51">
        <f>SUM(J334:J334)</f>
        <v>0</v>
      </c>
      <c r="G334" s="74">
        <f>F334-D334</f>
        <v>-1452000</v>
      </c>
      <c r="H334" s="13"/>
      <c r="I334" s="14"/>
      <c r="J334" s="58"/>
      <c r="K334" s="74"/>
      <c r="L334" s="1"/>
      <c r="M334" s="52"/>
    </row>
    <row r="335" spans="1:13" s="22" customFormat="1" ht="18" customHeight="1" x14ac:dyDescent="0.15">
      <c r="A335" s="7"/>
      <c r="B335" s="7"/>
      <c r="C335" s="7" t="s">
        <v>234</v>
      </c>
      <c r="D335" s="26">
        <v>6994000</v>
      </c>
      <c r="E335" s="26">
        <v>0</v>
      </c>
      <c r="F335" s="26">
        <f>SUM(J335:J335)</f>
        <v>0</v>
      </c>
      <c r="G335" s="75">
        <f>F335-D335</f>
        <v>-6994000</v>
      </c>
      <c r="H335" s="10"/>
      <c r="I335" s="11"/>
      <c r="J335" s="57"/>
      <c r="K335" s="75"/>
      <c r="L335" s="1"/>
      <c r="M335" s="52"/>
    </row>
    <row r="336" spans="1:13" s="22" customFormat="1" ht="18" customHeight="1" x14ac:dyDescent="0.15">
      <c r="A336" s="7"/>
      <c r="B336" s="7"/>
      <c r="C336" s="12" t="s">
        <v>235</v>
      </c>
      <c r="D336" s="51">
        <v>5000000</v>
      </c>
      <c r="E336" s="51">
        <v>0</v>
      </c>
      <c r="F336" s="51">
        <f>SUM(J336)</f>
        <v>0</v>
      </c>
      <c r="G336" s="74">
        <f>F336-D336</f>
        <v>-5000000</v>
      </c>
      <c r="H336" s="13"/>
      <c r="I336" s="14"/>
      <c r="J336" s="58"/>
      <c r="K336" s="74"/>
      <c r="L336" s="1"/>
      <c r="M336" s="52"/>
    </row>
    <row r="337" spans="1:13" s="22" customFormat="1" ht="18" customHeight="1" x14ac:dyDescent="0.15">
      <c r="A337" s="7"/>
      <c r="B337" s="7"/>
      <c r="C337" s="12" t="s">
        <v>236</v>
      </c>
      <c r="D337" s="51">
        <v>2000000</v>
      </c>
      <c r="E337" s="51">
        <v>0</v>
      </c>
      <c r="F337" s="51">
        <f>SUM(J337:J337)</f>
        <v>0</v>
      </c>
      <c r="G337" s="74">
        <f>F337-D337</f>
        <v>-2000000</v>
      </c>
      <c r="H337" s="13"/>
      <c r="I337" s="14"/>
      <c r="J337" s="58"/>
      <c r="K337" s="74"/>
      <c r="L337" s="1"/>
      <c r="M337" s="52"/>
    </row>
    <row r="338" spans="1:13" s="22" customFormat="1" ht="18" customHeight="1" x14ac:dyDescent="0.15">
      <c r="A338" s="7"/>
      <c r="B338" s="7"/>
      <c r="C338" s="7" t="s">
        <v>237</v>
      </c>
      <c r="D338" s="26">
        <v>3000000</v>
      </c>
      <c r="E338" s="26">
        <v>0</v>
      </c>
      <c r="F338" s="26">
        <f>SUM(J338:J338)</f>
        <v>0</v>
      </c>
      <c r="G338" s="75">
        <f>F338-D338</f>
        <v>-3000000</v>
      </c>
      <c r="H338" s="10"/>
      <c r="I338" s="11"/>
      <c r="J338" s="57"/>
      <c r="K338" s="75"/>
      <c r="L338" s="1"/>
      <c r="M338" s="52"/>
    </row>
    <row r="339" spans="1:13" s="22" customFormat="1" ht="18" customHeight="1" x14ac:dyDescent="0.15">
      <c r="A339" s="7"/>
      <c r="B339" s="7"/>
      <c r="C339" s="12" t="s">
        <v>238</v>
      </c>
      <c r="D339" s="51">
        <v>1000000</v>
      </c>
      <c r="E339" s="51">
        <v>0</v>
      </c>
      <c r="F339" s="51">
        <f t="shared" ref="F339:F344" si="13">SUM(J339)</f>
        <v>0</v>
      </c>
      <c r="G339" s="74">
        <f t="shared" ref="G339:G344" si="14">F339-D339</f>
        <v>-1000000</v>
      </c>
      <c r="H339" s="13"/>
      <c r="I339" s="14"/>
      <c r="J339" s="58"/>
      <c r="K339" s="74"/>
      <c r="L339" s="1"/>
      <c r="M339" s="52"/>
    </row>
    <row r="340" spans="1:13" s="22" customFormat="1" ht="18" customHeight="1" x14ac:dyDescent="0.15">
      <c r="A340" s="7"/>
      <c r="B340" s="7"/>
      <c r="C340" s="12" t="s">
        <v>239</v>
      </c>
      <c r="D340" s="51">
        <v>1000000</v>
      </c>
      <c r="E340" s="51">
        <v>0</v>
      </c>
      <c r="F340" s="51">
        <f t="shared" si="13"/>
        <v>0</v>
      </c>
      <c r="G340" s="74">
        <f t="shared" si="14"/>
        <v>-1000000</v>
      </c>
      <c r="H340" s="13"/>
      <c r="I340" s="14"/>
      <c r="J340" s="58"/>
      <c r="K340" s="74"/>
      <c r="L340" s="1"/>
      <c r="M340" s="52"/>
    </row>
    <row r="341" spans="1:13" s="22" customFormat="1" ht="18" customHeight="1" x14ac:dyDescent="0.15">
      <c r="A341" s="7"/>
      <c r="B341" s="7"/>
      <c r="C341" s="12" t="s">
        <v>240</v>
      </c>
      <c r="D341" s="51">
        <v>1000000</v>
      </c>
      <c r="E341" s="51">
        <v>0</v>
      </c>
      <c r="F341" s="51">
        <f t="shared" si="13"/>
        <v>0</v>
      </c>
      <c r="G341" s="74">
        <f t="shared" si="14"/>
        <v>-1000000</v>
      </c>
      <c r="H341" s="13"/>
      <c r="I341" s="14"/>
      <c r="J341" s="58"/>
      <c r="K341" s="74"/>
      <c r="L341" s="1"/>
      <c r="M341" s="52"/>
    </row>
    <row r="342" spans="1:13" s="22" customFormat="1" ht="18" customHeight="1" x14ac:dyDescent="0.15">
      <c r="A342" s="7"/>
      <c r="B342" s="7"/>
      <c r="C342" s="12" t="s">
        <v>241</v>
      </c>
      <c r="D342" s="51">
        <v>1000000</v>
      </c>
      <c r="E342" s="51">
        <v>0</v>
      </c>
      <c r="F342" s="51">
        <f t="shared" si="13"/>
        <v>0</v>
      </c>
      <c r="G342" s="74">
        <f t="shared" si="14"/>
        <v>-1000000</v>
      </c>
      <c r="H342" s="13"/>
      <c r="I342" s="14"/>
      <c r="J342" s="58"/>
      <c r="K342" s="74"/>
      <c r="L342" s="1"/>
      <c r="M342" s="52"/>
    </row>
    <row r="343" spans="1:13" s="22" customFormat="1" ht="18" customHeight="1" x14ac:dyDescent="0.15">
      <c r="A343" s="7"/>
      <c r="B343" s="7"/>
      <c r="C343" s="12" t="s">
        <v>243</v>
      </c>
      <c r="D343" s="51">
        <v>5000000</v>
      </c>
      <c r="E343" s="51">
        <v>0</v>
      </c>
      <c r="F343" s="51">
        <f t="shared" si="13"/>
        <v>0</v>
      </c>
      <c r="G343" s="74">
        <f t="shared" si="14"/>
        <v>-5000000</v>
      </c>
      <c r="H343" s="13"/>
      <c r="I343" s="14"/>
      <c r="J343" s="58"/>
      <c r="K343" s="74"/>
      <c r="L343" s="1"/>
      <c r="M343" s="52"/>
    </row>
    <row r="344" spans="1:13" s="22" customFormat="1" ht="18" customHeight="1" x14ac:dyDescent="0.15">
      <c r="A344" s="7"/>
      <c r="B344" s="6"/>
      <c r="C344" s="12" t="s">
        <v>245</v>
      </c>
      <c r="D344" s="51">
        <v>5000000</v>
      </c>
      <c r="E344" s="51">
        <v>0</v>
      </c>
      <c r="F344" s="51">
        <f t="shared" si="13"/>
        <v>0</v>
      </c>
      <c r="G344" s="74">
        <f t="shared" si="14"/>
        <v>-5000000</v>
      </c>
      <c r="H344" s="13"/>
      <c r="I344" s="14"/>
      <c r="J344" s="58"/>
      <c r="K344" s="74"/>
      <c r="L344" s="1"/>
      <c r="M344" s="52"/>
    </row>
    <row r="345" spans="1:13" s="22" customFormat="1" ht="18" customHeight="1" x14ac:dyDescent="0.15">
      <c r="A345" s="7"/>
      <c r="B345" s="7">
        <v>2008</v>
      </c>
      <c r="C345" s="7"/>
      <c r="D345" s="26">
        <f>SUM(D346:D357)</f>
        <v>0</v>
      </c>
      <c r="E345" s="26">
        <f>SUM(E346:E360)</f>
        <v>945010</v>
      </c>
      <c r="F345" s="26">
        <f>SUM(F346:F360)</f>
        <v>4437650</v>
      </c>
      <c r="G345" s="26">
        <f>SUM(G346:G360)</f>
        <v>5354660</v>
      </c>
      <c r="H345" s="10"/>
      <c r="I345" s="11"/>
      <c r="J345" s="57"/>
      <c r="K345" s="75"/>
      <c r="L345" s="1"/>
      <c r="M345" s="52"/>
    </row>
    <row r="346" spans="1:13" s="22" customFormat="1" ht="18" customHeight="1" x14ac:dyDescent="0.15">
      <c r="A346" s="7"/>
      <c r="B346" s="7" t="s">
        <v>765</v>
      </c>
      <c r="C346" s="12" t="s">
        <v>54</v>
      </c>
      <c r="D346" s="51">
        <v>0</v>
      </c>
      <c r="E346" s="51">
        <v>945010</v>
      </c>
      <c r="F346" s="51">
        <f>J346</f>
        <v>28000</v>
      </c>
      <c r="G346" s="74">
        <f>E346-D346</f>
        <v>945010</v>
      </c>
      <c r="H346" s="13" t="s">
        <v>137</v>
      </c>
      <c r="I346" s="14"/>
      <c r="J346" s="58">
        <v>28000</v>
      </c>
      <c r="K346" s="74"/>
      <c r="L346" s="1"/>
      <c r="M346" s="52"/>
    </row>
    <row r="347" spans="1:13" s="22" customFormat="1" ht="18" customHeight="1" x14ac:dyDescent="0.15">
      <c r="A347" s="7"/>
      <c r="B347" s="7" t="s">
        <v>766</v>
      </c>
      <c r="C347" s="7" t="s">
        <v>55</v>
      </c>
      <c r="D347" s="26">
        <v>0</v>
      </c>
      <c r="E347" s="26">
        <v>0</v>
      </c>
      <c r="F347" s="26">
        <f>SUM(J347:J349)</f>
        <v>799200</v>
      </c>
      <c r="G347" s="75">
        <f>F347-D347</f>
        <v>799200</v>
      </c>
      <c r="H347" s="10" t="s">
        <v>767</v>
      </c>
      <c r="I347" s="11" t="s">
        <v>768</v>
      </c>
      <c r="J347" s="121">
        <f>660*370</f>
        <v>244200</v>
      </c>
      <c r="K347" s="75"/>
      <c r="L347" s="1"/>
      <c r="M347" s="52"/>
    </row>
    <row r="348" spans="1:13" s="22" customFormat="1" ht="18" customHeight="1" x14ac:dyDescent="0.15">
      <c r="A348" s="7"/>
      <c r="B348" s="7"/>
      <c r="C348" s="7"/>
      <c r="D348" s="26"/>
      <c r="E348" s="26"/>
      <c r="F348" s="26"/>
      <c r="G348" s="75"/>
      <c r="H348" s="10" t="s">
        <v>769</v>
      </c>
      <c r="I348" s="11"/>
      <c r="J348" s="121">
        <v>280000</v>
      </c>
      <c r="K348" s="75"/>
      <c r="L348" s="1"/>
      <c r="M348" s="52"/>
    </row>
    <row r="349" spans="1:13" s="22" customFormat="1" ht="18" customHeight="1" x14ac:dyDescent="0.15">
      <c r="A349" s="7"/>
      <c r="B349" s="7"/>
      <c r="C349" s="6"/>
      <c r="D349" s="53"/>
      <c r="E349" s="53"/>
      <c r="F349" s="53"/>
      <c r="G349" s="72"/>
      <c r="H349" s="8" t="s">
        <v>770</v>
      </c>
      <c r="I349" s="9"/>
      <c r="J349" s="117">
        <v>275000</v>
      </c>
      <c r="K349" s="72"/>
      <c r="L349" s="1"/>
      <c r="M349" s="52"/>
    </row>
    <row r="350" spans="1:13" s="22" customFormat="1" ht="18" customHeight="1" x14ac:dyDescent="0.15">
      <c r="A350" s="7"/>
      <c r="B350" s="7"/>
      <c r="C350" s="7" t="s">
        <v>782</v>
      </c>
      <c r="D350" s="69">
        <v>0</v>
      </c>
      <c r="E350" s="69">
        <v>0</v>
      </c>
      <c r="F350" s="69">
        <f>SUM(J350:J351)</f>
        <v>1307410</v>
      </c>
      <c r="G350" s="73">
        <f>F350-D350</f>
        <v>1307410</v>
      </c>
      <c r="H350" s="15" t="s">
        <v>771</v>
      </c>
      <c r="I350" s="16"/>
      <c r="J350" s="121">
        <f>898000+39000+51000+23000+70000</f>
        <v>1081000</v>
      </c>
      <c r="K350" s="75"/>
      <c r="L350" s="1"/>
      <c r="M350" s="52"/>
    </row>
    <row r="351" spans="1:13" s="22" customFormat="1" ht="18" customHeight="1" x14ac:dyDescent="0.15">
      <c r="A351" s="7"/>
      <c r="B351" s="7"/>
      <c r="C351" s="6"/>
      <c r="D351" s="53"/>
      <c r="E351" s="53"/>
      <c r="F351" s="53"/>
      <c r="G351" s="72"/>
      <c r="H351" s="8" t="s">
        <v>772</v>
      </c>
      <c r="I351" s="9"/>
      <c r="J351" s="117">
        <f>4020+171090+36000+15300</f>
        <v>226410</v>
      </c>
      <c r="K351" s="75"/>
      <c r="L351" s="1"/>
      <c r="M351" s="52"/>
    </row>
    <row r="352" spans="1:13" s="22" customFormat="1" ht="18" customHeight="1" x14ac:dyDescent="0.15">
      <c r="A352" s="7"/>
      <c r="B352" s="7"/>
      <c r="C352" s="7" t="s">
        <v>783</v>
      </c>
      <c r="D352" s="26">
        <v>0</v>
      </c>
      <c r="E352" s="26">
        <v>0</v>
      </c>
      <c r="F352" s="26">
        <f>SUM(J352:J354)</f>
        <v>1210000</v>
      </c>
      <c r="G352" s="75">
        <f>F352-D352</f>
        <v>1210000</v>
      </c>
      <c r="H352" s="10" t="s">
        <v>773</v>
      </c>
      <c r="I352" s="11"/>
      <c r="J352" s="121">
        <f>200000*1.1</f>
        <v>220000.00000000003</v>
      </c>
      <c r="K352" s="75"/>
      <c r="L352" s="1"/>
      <c r="M352" s="52"/>
    </row>
    <row r="353" spans="1:13" s="22" customFormat="1" ht="18" customHeight="1" x14ac:dyDescent="0.15">
      <c r="A353" s="7"/>
      <c r="B353" s="7"/>
      <c r="C353" s="7"/>
      <c r="D353" s="26"/>
      <c r="E353" s="26"/>
      <c r="F353" s="26"/>
      <c r="G353" s="75"/>
      <c r="H353" s="10" t="s">
        <v>774</v>
      </c>
      <c r="I353" s="11"/>
      <c r="J353" s="121">
        <f>300000*1.1</f>
        <v>330000</v>
      </c>
      <c r="K353" s="75"/>
      <c r="L353" s="1"/>
      <c r="M353" s="52"/>
    </row>
    <row r="354" spans="1:13" s="22" customFormat="1" ht="18" customHeight="1" x14ac:dyDescent="0.15">
      <c r="A354" s="7"/>
      <c r="B354" s="7"/>
      <c r="C354" s="6"/>
      <c r="D354" s="53"/>
      <c r="E354" s="53"/>
      <c r="F354" s="53"/>
      <c r="G354" s="72"/>
      <c r="H354" s="8" t="s">
        <v>775</v>
      </c>
      <c r="I354" s="9"/>
      <c r="J354" s="117">
        <f>600000*1.1</f>
        <v>660000</v>
      </c>
      <c r="K354" s="75"/>
      <c r="L354" s="1"/>
      <c r="M354" s="52"/>
    </row>
    <row r="355" spans="1:13" s="22" customFormat="1" ht="18" customHeight="1" x14ac:dyDescent="0.15">
      <c r="A355" s="7"/>
      <c r="B355" s="7"/>
      <c r="C355" s="18" t="s">
        <v>784</v>
      </c>
      <c r="D355" s="69">
        <v>0</v>
      </c>
      <c r="E355" s="69">
        <v>0</v>
      </c>
      <c r="F355" s="69">
        <f>SUM(J355:J356)</f>
        <v>130540</v>
      </c>
      <c r="G355" s="73">
        <f>F355-D355</f>
        <v>130540</v>
      </c>
      <c r="H355" s="15" t="s">
        <v>776</v>
      </c>
      <c r="I355" s="16"/>
      <c r="J355" s="122">
        <f>14340+30200</f>
        <v>44540</v>
      </c>
      <c r="K355" s="75"/>
      <c r="L355" s="1"/>
      <c r="M355" s="52"/>
    </row>
    <row r="356" spans="1:13" s="22" customFormat="1" ht="18" customHeight="1" x14ac:dyDescent="0.15">
      <c r="A356" s="7"/>
      <c r="B356" s="7"/>
      <c r="C356" s="6"/>
      <c r="D356" s="53"/>
      <c r="E356" s="53"/>
      <c r="F356" s="53"/>
      <c r="G356" s="72"/>
      <c r="H356" s="8" t="s">
        <v>777</v>
      </c>
      <c r="I356" s="9"/>
      <c r="J356" s="117">
        <v>86000</v>
      </c>
      <c r="K356" s="75"/>
      <c r="L356" s="1"/>
      <c r="M356" s="52"/>
    </row>
    <row r="357" spans="1:13" s="22" customFormat="1" ht="18" customHeight="1" x14ac:dyDescent="0.15">
      <c r="A357" s="7"/>
      <c r="B357" s="7"/>
      <c r="C357" s="18" t="s">
        <v>85</v>
      </c>
      <c r="D357" s="26">
        <v>0</v>
      </c>
      <c r="E357" s="26">
        <v>0</v>
      </c>
      <c r="F357" s="26">
        <f>SUM(J357:J360)</f>
        <v>962500</v>
      </c>
      <c r="G357" s="75">
        <f>F357-D357</f>
        <v>962500</v>
      </c>
      <c r="H357" s="10" t="s">
        <v>778</v>
      </c>
      <c r="I357" s="11"/>
      <c r="J357" s="121">
        <f>10000+10000+(900*6)+85000+(900*4)</f>
        <v>114000</v>
      </c>
      <c r="K357" s="75"/>
      <c r="L357" s="1"/>
      <c r="M357" s="52"/>
    </row>
    <row r="358" spans="1:13" s="22" customFormat="1" ht="18" customHeight="1" x14ac:dyDescent="0.15">
      <c r="A358" s="7"/>
      <c r="B358" s="7"/>
      <c r="C358" s="7"/>
      <c r="D358" s="26"/>
      <c r="E358" s="26"/>
      <c r="F358" s="26"/>
      <c r="G358" s="75"/>
      <c r="H358" s="10" t="s">
        <v>779</v>
      </c>
      <c r="I358" s="11"/>
      <c r="J358" s="119">
        <v>40000</v>
      </c>
      <c r="K358" s="75"/>
      <c r="L358" s="1"/>
      <c r="M358" s="52"/>
    </row>
    <row r="359" spans="1:13" s="22" customFormat="1" ht="18" customHeight="1" x14ac:dyDescent="0.15">
      <c r="A359" s="7"/>
      <c r="B359" s="7"/>
      <c r="C359" s="7"/>
      <c r="D359" s="26"/>
      <c r="E359" s="26"/>
      <c r="F359" s="26"/>
      <c r="G359" s="75"/>
      <c r="H359" s="10" t="s">
        <v>780</v>
      </c>
      <c r="I359" s="11"/>
      <c r="J359" s="119">
        <f>635000*1.1</f>
        <v>698500</v>
      </c>
      <c r="K359" s="75"/>
      <c r="L359" s="1"/>
      <c r="M359" s="52"/>
    </row>
    <row r="360" spans="1:13" s="22" customFormat="1" ht="18" customHeight="1" x14ac:dyDescent="0.15">
      <c r="A360" s="6"/>
      <c r="B360" s="6"/>
      <c r="C360" s="6"/>
      <c r="D360" s="53"/>
      <c r="E360" s="53"/>
      <c r="F360" s="53"/>
      <c r="G360" s="72"/>
      <c r="H360" s="8" t="s">
        <v>781</v>
      </c>
      <c r="I360" s="9"/>
      <c r="J360" s="123">
        <v>110000</v>
      </c>
      <c r="K360" s="72"/>
      <c r="L360" s="1"/>
      <c r="M360" s="52"/>
    </row>
    <row r="361" spans="1:13" s="22" customFormat="1" ht="15.2" customHeight="1" x14ac:dyDescent="0.15">
      <c r="A361" s="7" t="s">
        <v>104</v>
      </c>
      <c r="B361" s="6"/>
      <c r="C361" s="6"/>
      <c r="D361" s="53">
        <v>150400000</v>
      </c>
      <c r="E361" s="53">
        <f>E362+E365+E371</f>
        <v>168600000</v>
      </c>
      <c r="F361" s="53">
        <f>F362+F365+F371</f>
        <v>236550000</v>
      </c>
      <c r="G361" s="72">
        <f>G362+G365+G371</f>
        <v>86150000</v>
      </c>
      <c r="H361" s="8"/>
      <c r="I361" s="9"/>
      <c r="J361" s="56"/>
      <c r="K361" s="72"/>
      <c r="L361" s="1"/>
      <c r="M361" s="52"/>
    </row>
    <row r="362" spans="1:13" s="22" customFormat="1" ht="15.2" customHeight="1" x14ac:dyDescent="0.15">
      <c r="A362" s="7"/>
      <c r="B362" s="7" t="s">
        <v>105</v>
      </c>
      <c r="C362" s="6"/>
      <c r="D362" s="53">
        <v>128000000</v>
      </c>
      <c r="E362" s="53">
        <f>SUM(E363:E364)</f>
        <v>161000000</v>
      </c>
      <c r="F362" s="53">
        <f>SUM(F363:F364)</f>
        <v>160000000</v>
      </c>
      <c r="G362" s="72">
        <f>F362-D362</f>
        <v>32000000</v>
      </c>
      <c r="H362" s="8"/>
      <c r="I362" s="9"/>
      <c r="J362" s="56"/>
      <c r="K362" s="72"/>
      <c r="L362" s="1"/>
      <c r="M362" s="52"/>
    </row>
    <row r="363" spans="1:13" ht="15.2" customHeight="1" x14ac:dyDescent="0.15">
      <c r="A363" s="7"/>
      <c r="B363" s="7"/>
      <c r="C363" s="7" t="s">
        <v>106</v>
      </c>
      <c r="D363" s="26">
        <v>128000000</v>
      </c>
      <c r="E363" s="26">
        <v>128000000</v>
      </c>
      <c r="F363" s="26">
        <f>SUM(J363:J363)</f>
        <v>128000000</v>
      </c>
      <c r="G363" s="75">
        <f>F363-D363</f>
        <v>0</v>
      </c>
      <c r="H363" s="10" t="s">
        <v>107</v>
      </c>
      <c r="I363" s="16" t="s">
        <v>228</v>
      </c>
      <c r="J363" s="57">
        <f>8000000*16</f>
        <v>128000000</v>
      </c>
      <c r="K363" s="75"/>
      <c r="M363" s="52"/>
    </row>
    <row r="364" spans="1:13" ht="15.2" customHeight="1" x14ac:dyDescent="0.15">
      <c r="A364" s="7"/>
      <c r="B364" s="6"/>
      <c r="C364" s="12" t="s">
        <v>108</v>
      </c>
      <c r="D364" s="51">
        <v>0</v>
      </c>
      <c r="E364" s="51">
        <v>33000000</v>
      </c>
      <c r="F364" s="51">
        <f>SUM(J364)</f>
        <v>32000000</v>
      </c>
      <c r="G364" s="74">
        <f>F364-D364</f>
        <v>32000000</v>
      </c>
      <c r="H364" s="13" t="s">
        <v>342</v>
      </c>
      <c r="I364" s="14" t="s">
        <v>343</v>
      </c>
      <c r="J364" s="58">
        <f>8000000*4</f>
        <v>32000000</v>
      </c>
      <c r="K364" s="74"/>
      <c r="M364" s="52"/>
    </row>
    <row r="365" spans="1:13" s="22" customFormat="1" ht="15.2" customHeight="1" x14ac:dyDescent="0.15">
      <c r="A365" s="7"/>
      <c r="B365" s="18" t="s">
        <v>109</v>
      </c>
      <c r="C365" s="18"/>
      <c r="D365" s="69">
        <v>12400000</v>
      </c>
      <c r="E365" s="69">
        <f>E366</f>
        <v>7600000</v>
      </c>
      <c r="F365" s="69">
        <f>F366</f>
        <v>56550000</v>
      </c>
      <c r="G365" s="73">
        <f>G366</f>
        <v>44150000</v>
      </c>
      <c r="H365" s="15"/>
      <c r="I365" s="16"/>
      <c r="J365" s="59"/>
      <c r="K365" s="73"/>
      <c r="L365" s="1"/>
      <c r="M365" s="52"/>
    </row>
    <row r="366" spans="1:13" ht="15.2" customHeight="1" x14ac:dyDescent="0.15">
      <c r="A366" s="7"/>
      <c r="B366" s="7"/>
      <c r="C366" s="18" t="s">
        <v>109</v>
      </c>
      <c r="D366" s="69">
        <v>12400000</v>
      </c>
      <c r="E366" s="69">
        <v>7600000</v>
      </c>
      <c r="F366" s="69">
        <f>SUM(J366:J370)</f>
        <v>56550000</v>
      </c>
      <c r="G366" s="73">
        <f>F366-D366</f>
        <v>44150000</v>
      </c>
      <c r="H366" s="15" t="s">
        <v>110</v>
      </c>
      <c r="I366" s="16" t="s">
        <v>344</v>
      </c>
      <c r="J366" s="59">
        <f>1000000*10</f>
        <v>10000000</v>
      </c>
      <c r="K366" s="73"/>
      <c r="M366" s="52"/>
    </row>
    <row r="367" spans="1:13" ht="15.2" customHeight="1" x14ac:dyDescent="0.15">
      <c r="A367" s="7"/>
      <c r="B367" s="7"/>
      <c r="C367" s="7"/>
      <c r="D367" s="26"/>
      <c r="E367" s="26"/>
      <c r="F367" s="26"/>
      <c r="G367" s="75"/>
      <c r="H367" s="10" t="s">
        <v>111</v>
      </c>
      <c r="I367" s="11"/>
      <c r="J367" s="64"/>
      <c r="K367" s="75"/>
      <c r="M367" s="52"/>
    </row>
    <row r="368" spans="1:13" ht="15.2" customHeight="1" x14ac:dyDescent="0.15">
      <c r="A368" s="7"/>
      <c r="B368" s="7"/>
      <c r="C368" s="7"/>
      <c r="D368" s="26"/>
      <c r="E368" s="26"/>
      <c r="F368" s="26"/>
      <c r="G368" s="75"/>
      <c r="H368" s="10" t="s">
        <v>112</v>
      </c>
      <c r="I368" s="11" t="s">
        <v>204</v>
      </c>
      <c r="J368" s="64">
        <f>1500000*4</f>
        <v>6000000</v>
      </c>
      <c r="K368" s="75"/>
      <c r="M368" s="52"/>
    </row>
    <row r="369" spans="1:13" ht="15.2" customHeight="1" x14ac:dyDescent="0.15">
      <c r="A369" s="7"/>
      <c r="B369" s="7"/>
      <c r="C369" s="7"/>
      <c r="D369" s="26"/>
      <c r="E369" s="26"/>
      <c r="F369" s="26"/>
      <c r="G369" s="75"/>
      <c r="H369" s="10" t="s">
        <v>566</v>
      </c>
      <c r="I369" s="11" t="s">
        <v>567</v>
      </c>
      <c r="J369" s="64">
        <f>2000000*12</f>
        <v>24000000</v>
      </c>
      <c r="K369" s="75"/>
      <c r="M369" s="52"/>
    </row>
    <row r="370" spans="1:13" ht="15.2" customHeight="1" x14ac:dyDescent="0.15">
      <c r="A370" s="7"/>
      <c r="B370" s="6"/>
      <c r="C370" s="6"/>
      <c r="D370" s="53"/>
      <c r="E370" s="53"/>
      <c r="F370" s="53"/>
      <c r="G370" s="72"/>
      <c r="H370" s="8" t="s">
        <v>568</v>
      </c>
      <c r="I370" s="9"/>
      <c r="J370" s="65">
        <v>16550000</v>
      </c>
      <c r="K370" s="72"/>
      <c r="M370" s="52"/>
    </row>
    <row r="371" spans="1:13" ht="15.2" customHeight="1" x14ac:dyDescent="0.15">
      <c r="A371" s="7"/>
      <c r="B371" s="7" t="s">
        <v>113</v>
      </c>
      <c r="C371" s="6"/>
      <c r="D371" s="53">
        <v>10000000</v>
      </c>
      <c r="E371" s="53">
        <f>SUM(E372:E373)</f>
        <v>0</v>
      </c>
      <c r="F371" s="53">
        <f>SUM(F372:F373)</f>
        <v>20000000</v>
      </c>
      <c r="G371" s="53">
        <f>SUM(G372:G373)</f>
        <v>10000000</v>
      </c>
      <c r="H371" s="8"/>
      <c r="I371" s="9"/>
      <c r="J371" s="56"/>
      <c r="K371" s="53"/>
      <c r="M371" s="52"/>
    </row>
    <row r="372" spans="1:13" ht="15.2" customHeight="1" x14ac:dyDescent="0.15">
      <c r="A372" s="7"/>
      <c r="B372" s="7"/>
      <c r="C372" s="12" t="s">
        <v>114</v>
      </c>
      <c r="D372" s="51">
        <v>10000000</v>
      </c>
      <c r="E372" s="51">
        <v>0</v>
      </c>
      <c r="F372" s="51">
        <f>J372</f>
        <v>10000000</v>
      </c>
      <c r="G372" s="51">
        <f>F372-D372</f>
        <v>0</v>
      </c>
      <c r="H372" s="13" t="s">
        <v>115</v>
      </c>
      <c r="I372" s="14"/>
      <c r="J372" s="58">
        <v>10000000</v>
      </c>
      <c r="K372" s="51"/>
      <c r="M372" s="52"/>
    </row>
    <row r="373" spans="1:13" ht="15.2" customHeight="1" x14ac:dyDescent="0.15">
      <c r="A373" s="6"/>
      <c r="B373" s="6"/>
      <c r="C373" s="6" t="s">
        <v>569</v>
      </c>
      <c r="D373" s="53">
        <v>0</v>
      </c>
      <c r="E373" s="53">
        <v>0</v>
      </c>
      <c r="F373" s="53">
        <f>J373</f>
        <v>10000000</v>
      </c>
      <c r="G373" s="72">
        <f>F373-D373</f>
        <v>10000000</v>
      </c>
      <c r="H373" s="8" t="s">
        <v>570</v>
      </c>
      <c r="I373" s="9"/>
      <c r="J373" s="56">
        <v>10000000</v>
      </c>
      <c r="K373" s="72"/>
      <c r="M373" s="52"/>
    </row>
    <row r="374" spans="1:13" ht="15.2" customHeight="1" x14ac:dyDescent="0.15">
      <c r="A374" s="7" t="s">
        <v>116</v>
      </c>
      <c r="B374" s="6"/>
      <c r="C374" s="6"/>
      <c r="D374" s="53">
        <v>489247200</v>
      </c>
      <c r="E374" s="53">
        <f>E375+E425+E404+E414+E436+E440+E394</f>
        <v>551323534</v>
      </c>
      <c r="F374" s="53">
        <f>F375+F425+F404+F414+F436+F440+F394</f>
        <v>697412560</v>
      </c>
      <c r="G374" s="72">
        <f>G375+G425+G404+G436+G414</f>
        <v>87745360</v>
      </c>
      <c r="H374" s="97"/>
      <c r="I374" s="9"/>
      <c r="J374" s="56"/>
      <c r="K374" s="72"/>
      <c r="M374" s="52"/>
    </row>
    <row r="375" spans="1:13" ht="15.2" customHeight="1" x14ac:dyDescent="0.15">
      <c r="A375" s="7"/>
      <c r="B375" s="7" t="s">
        <v>52</v>
      </c>
      <c r="C375" s="6"/>
      <c r="D375" s="53">
        <v>260540000</v>
      </c>
      <c r="E375" s="53">
        <f>SUM(E376:E393)</f>
        <v>281013202</v>
      </c>
      <c r="F375" s="53">
        <f>SUM(F376:F392)</f>
        <v>306040000</v>
      </c>
      <c r="G375" s="53">
        <f>SUM(G376:G392)</f>
        <v>45500000</v>
      </c>
      <c r="H375" s="8"/>
      <c r="I375" s="9"/>
      <c r="J375" s="56"/>
      <c r="K375" s="53"/>
      <c r="M375" s="52"/>
    </row>
    <row r="376" spans="1:13" ht="15.2" customHeight="1" x14ac:dyDescent="0.15">
      <c r="A376" s="7"/>
      <c r="B376" s="7"/>
      <c r="C376" s="7" t="s">
        <v>117</v>
      </c>
      <c r="D376" s="26">
        <v>22740000</v>
      </c>
      <c r="E376" s="26">
        <v>3313810</v>
      </c>
      <c r="F376" s="26">
        <f>SUM(J376:J379)</f>
        <v>57240000</v>
      </c>
      <c r="G376" s="75">
        <f>F376-D376</f>
        <v>34500000</v>
      </c>
      <c r="H376" s="10" t="s">
        <v>118</v>
      </c>
      <c r="I376" s="11" t="s">
        <v>571</v>
      </c>
      <c r="J376" s="57">
        <f>50000*10*70</f>
        <v>35000000</v>
      </c>
      <c r="K376" s="75"/>
      <c r="M376" s="52"/>
    </row>
    <row r="377" spans="1:13" ht="15.2" customHeight="1" x14ac:dyDescent="0.15">
      <c r="A377" s="7"/>
      <c r="B377" s="7"/>
      <c r="C377" s="7"/>
      <c r="D377" s="26"/>
      <c r="E377" s="26"/>
      <c r="F377" s="26"/>
      <c r="G377" s="75"/>
      <c r="H377" s="10" t="s">
        <v>119</v>
      </c>
      <c r="I377" s="11" t="s">
        <v>573</v>
      </c>
      <c r="J377" s="57">
        <f>4000*34*70</f>
        <v>9520000</v>
      </c>
      <c r="K377" s="75"/>
      <c r="M377" s="52"/>
    </row>
    <row r="378" spans="1:13" ht="15.2" customHeight="1" x14ac:dyDescent="0.15">
      <c r="A378" s="7"/>
      <c r="B378" s="7"/>
      <c r="C378" s="7"/>
      <c r="D378" s="26"/>
      <c r="E378" s="26"/>
      <c r="F378" s="26"/>
      <c r="G378" s="75"/>
      <c r="H378" s="10"/>
      <c r="I378" s="11" t="s">
        <v>572</v>
      </c>
      <c r="J378" s="57">
        <f>4000*24*70</f>
        <v>6720000</v>
      </c>
      <c r="K378" s="75"/>
      <c r="M378" s="52"/>
    </row>
    <row r="379" spans="1:13" ht="15.2" customHeight="1" x14ac:dyDescent="0.15">
      <c r="A379" s="7"/>
      <c r="B379" s="7"/>
      <c r="C379" s="6"/>
      <c r="D379" s="53"/>
      <c r="E379" s="53"/>
      <c r="F379" s="53"/>
      <c r="G379" s="72"/>
      <c r="H379" s="8" t="s">
        <v>120</v>
      </c>
      <c r="I379" s="9" t="s">
        <v>574</v>
      </c>
      <c r="J379" s="56">
        <f>1500000*4</f>
        <v>6000000</v>
      </c>
      <c r="K379" s="72"/>
      <c r="M379" s="52"/>
    </row>
    <row r="380" spans="1:13" ht="15.2" customHeight="1" x14ac:dyDescent="0.15">
      <c r="A380" s="7"/>
      <c r="B380" s="7"/>
      <c r="C380" s="18" t="s">
        <v>121</v>
      </c>
      <c r="D380" s="69">
        <v>25000000</v>
      </c>
      <c r="E380" s="69">
        <v>23027510</v>
      </c>
      <c r="F380" s="69">
        <f>SUM(J380:J381)</f>
        <v>26000000</v>
      </c>
      <c r="G380" s="73">
        <f>F380-D380</f>
        <v>1000000</v>
      </c>
      <c r="H380" s="15" t="s">
        <v>575</v>
      </c>
      <c r="I380" s="16"/>
      <c r="J380" s="59">
        <v>6000000</v>
      </c>
      <c r="K380" s="73"/>
      <c r="M380" s="52"/>
    </row>
    <row r="381" spans="1:13" ht="15.2" customHeight="1" x14ac:dyDescent="0.15">
      <c r="A381" s="7"/>
      <c r="B381" s="7"/>
      <c r="C381" s="6"/>
      <c r="D381" s="53"/>
      <c r="E381" s="53"/>
      <c r="F381" s="53"/>
      <c r="G381" s="72"/>
      <c r="H381" s="8" t="s">
        <v>189</v>
      </c>
      <c r="I381" s="9"/>
      <c r="J381" s="56">
        <v>20000000</v>
      </c>
      <c r="K381" s="72"/>
      <c r="M381" s="52"/>
    </row>
    <row r="382" spans="1:13" ht="15.2" customHeight="1" x14ac:dyDescent="0.15">
      <c r="A382" s="7"/>
      <c r="B382" s="7"/>
      <c r="C382" s="12" t="s">
        <v>35</v>
      </c>
      <c r="D382" s="51">
        <v>5000000</v>
      </c>
      <c r="E382" s="51">
        <v>0</v>
      </c>
      <c r="F382" s="51">
        <f>SUM(J382)</f>
        <v>5000000</v>
      </c>
      <c r="G382" s="51">
        <f>F382-D382</f>
        <v>0</v>
      </c>
      <c r="H382" s="13" t="s">
        <v>122</v>
      </c>
      <c r="I382" s="14"/>
      <c r="J382" s="58">
        <v>5000000</v>
      </c>
      <c r="K382" s="51"/>
      <c r="M382" s="52"/>
    </row>
    <row r="383" spans="1:13" ht="15.2" customHeight="1" x14ac:dyDescent="0.15">
      <c r="A383" s="7"/>
      <c r="B383" s="7"/>
      <c r="C383" s="18" t="s">
        <v>123</v>
      </c>
      <c r="D383" s="69">
        <v>202800000</v>
      </c>
      <c r="E383" s="69">
        <v>199370810</v>
      </c>
      <c r="F383" s="69">
        <f>SUM(J383:J389)</f>
        <v>205400000</v>
      </c>
      <c r="G383" s="73">
        <f>F383-D383</f>
        <v>2600000</v>
      </c>
      <c r="H383" s="15" t="s">
        <v>577</v>
      </c>
      <c r="I383" s="16" t="s">
        <v>576</v>
      </c>
      <c r="J383" s="59">
        <f>30000*20*140</f>
        <v>84000000</v>
      </c>
      <c r="K383" s="73"/>
      <c r="M383" s="52"/>
    </row>
    <row r="384" spans="1:13" ht="15.2" customHeight="1" x14ac:dyDescent="0.15">
      <c r="A384" s="7"/>
      <c r="B384" s="7"/>
      <c r="C384" s="7"/>
      <c r="D384" s="26"/>
      <c r="E384" s="26"/>
      <c r="F384" s="26"/>
      <c r="G384" s="75"/>
      <c r="H384" s="10" t="s">
        <v>578</v>
      </c>
      <c r="I384" s="11" t="s">
        <v>579</v>
      </c>
      <c r="J384" s="57">
        <f>30000*10*70</f>
        <v>21000000</v>
      </c>
      <c r="K384" s="75"/>
      <c r="M384" s="52"/>
    </row>
    <row r="385" spans="1:13" ht="15.2" customHeight="1" x14ac:dyDescent="0.15">
      <c r="A385" s="7"/>
      <c r="B385" s="7"/>
      <c r="C385" s="7"/>
      <c r="D385" s="26"/>
      <c r="E385" s="26"/>
      <c r="F385" s="26"/>
      <c r="G385" s="75"/>
      <c r="H385" s="10" t="s">
        <v>124</v>
      </c>
      <c r="I385" s="11" t="s">
        <v>580</v>
      </c>
      <c r="J385" s="57">
        <f>3500000*1*6</f>
        <v>21000000</v>
      </c>
      <c r="K385" s="75"/>
      <c r="M385" s="52"/>
    </row>
    <row r="386" spans="1:13" ht="15.2" customHeight="1" x14ac:dyDescent="0.15">
      <c r="A386" s="7"/>
      <c r="B386" s="7"/>
      <c r="C386" s="7"/>
      <c r="D386" s="26"/>
      <c r="E386" s="26"/>
      <c r="F386" s="26"/>
      <c r="G386" s="75"/>
      <c r="H386" s="10"/>
      <c r="I386" s="11" t="s">
        <v>581</v>
      </c>
      <c r="J386" s="57">
        <f>3300000*3*6</f>
        <v>59400000</v>
      </c>
      <c r="K386" s="75"/>
      <c r="M386" s="52"/>
    </row>
    <row r="387" spans="1:13" ht="15.2" customHeight="1" x14ac:dyDescent="0.15">
      <c r="A387" s="7"/>
      <c r="B387" s="7"/>
      <c r="C387" s="7"/>
      <c r="D387" s="26"/>
      <c r="E387" s="26"/>
      <c r="F387" s="26"/>
      <c r="G387" s="75"/>
      <c r="H387" s="10" t="s">
        <v>582</v>
      </c>
      <c r="I387" s="11" t="s">
        <v>623</v>
      </c>
      <c r="J387" s="57">
        <f>2000000*7</f>
        <v>14000000</v>
      </c>
      <c r="K387" s="75"/>
      <c r="M387" s="52"/>
    </row>
    <row r="388" spans="1:13" ht="15.2" customHeight="1" x14ac:dyDescent="0.15">
      <c r="A388" s="7"/>
      <c r="B388" s="7"/>
      <c r="C388" s="7"/>
      <c r="D388" s="26"/>
      <c r="E388" s="26"/>
      <c r="F388" s="26"/>
      <c r="G388" s="75"/>
      <c r="H388" s="10" t="s">
        <v>583</v>
      </c>
      <c r="I388" s="11"/>
      <c r="J388" s="57">
        <v>2500000</v>
      </c>
      <c r="K388" s="75"/>
      <c r="M388" s="52"/>
    </row>
    <row r="389" spans="1:13" ht="15.2" customHeight="1" x14ac:dyDescent="0.15">
      <c r="A389" s="7"/>
      <c r="B389" s="7"/>
      <c r="C389" s="6"/>
      <c r="D389" s="53"/>
      <c r="E389" s="53"/>
      <c r="F389" s="53"/>
      <c r="G389" s="72"/>
      <c r="H389" s="8" t="s">
        <v>584</v>
      </c>
      <c r="I389" s="9"/>
      <c r="J389" s="56">
        <v>3500000</v>
      </c>
      <c r="K389" s="72"/>
      <c r="M389" s="52"/>
    </row>
    <row r="390" spans="1:13" ht="15.2" customHeight="1" x14ac:dyDescent="0.15">
      <c r="A390" s="7"/>
      <c r="B390" s="7"/>
      <c r="C390" s="6" t="s">
        <v>7</v>
      </c>
      <c r="D390" s="53">
        <v>3000000</v>
      </c>
      <c r="E390" s="53">
        <v>1488422</v>
      </c>
      <c r="F390" s="53">
        <f>SUM(J390)</f>
        <v>5000000</v>
      </c>
      <c r="G390" s="72">
        <f>F390-D390</f>
        <v>2000000</v>
      </c>
      <c r="H390" s="8" t="s">
        <v>125</v>
      </c>
      <c r="I390" s="9"/>
      <c r="J390" s="56">
        <v>5000000</v>
      </c>
      <c r="K390" s="72"/>
      <c r="M390" s="52"/>
    </row>
    <row r="391" spans="1:13" ht="15.2" customHeight="1" x14ac:dyDescent="0.15">
      <c r="A391" s="7"/>
      <c r="B391" s="7"/>
      <c r="C391" s="7" t="s">
        <v>126</v>
      </c>
      <c r="D391" s="26">
        <v>2000000</v>
      </c>
      <c r="E391" s="26">
        <v>6201220</v>
      </c>
      <c r="F391" s="26">
        <f>SUM(J391:J392)</f>
        <v>7400000</v>
      </c>
      <c r="G391" s="75">
        <f>F391-D391</f>
        <v>5400000</v>
      </c>
      <c r="H391" s="10" t="s">
        <v>127</v>
      </c>
      <c r="I391" s="11" t="s">
        <v>585</v>
      </c>
      <c r="J391" s="57">
        <v>2400000</v>
      </c>
      <c r="K391" s="75"/>
      <c r="M391" s="52"/>
    </row>
    <row r="392" spans="1:13" ht="15.2" customHeight="1" x14ac:dyDescent="0.15">
      <c r="A392" s="7"/>
      <c r="B392" s="7"/>
      <c r="C392" s="6"/>
      <c r="D392" s="53"/>
      <c r="E392" s="53"/>
      <c r="F392" s="53"/>
      <c r="G392" s="72"/>
      <c r="H392" s="8" t="s">
        <v>128</v>
      </c>
      <c r="I392" s="9"/>
      <c r="J392" s="56">
        <v>5000000</v>
      </c>
      <c r="K392" s="72"/>
      <c r="M392" s="52"/>
    </row>
    <row r="393" spans="1:13" ht="15.2" customHeight="1" x14ac:dyDescent="0.15">
      <c r="A393" s="6"/>
      <c r="B393" s="6"/>
      <c r="C393" s="6" t="s">
        <v>785</v>
      </c>
      <c r="D393" s="53">
        <v>0</v>
      </c>
      <c r="E393" s="53">
        <v>47611430</v>
      </c>
      <c r="F393" s="53">
        <v>0</v>
      </c>
      <c r="G393" s="53">
        <f>F393-D393</f>
        <v>0</v>
      </c>
      <c r="H393" s="8"/>
      <c r="I393" s="9"/>
      <c r="J393" s="56"/>
      <c r="K393" s="72"/>
      <c r="M393" s="52"/>
    </row>
    <row r="394" spans="1:13" ht="21" customHeight="1" x14ac:dyDescent="0.15">
      <c r="A394" s="7" t="s">
        <v>116</v>
      </c>
      <c r="B394" s="7" t="s">
        <v>624</v>
      </c>
      <c r="C394" s="6"/>
      <c r="D394" s="53">
        <f>SUM(D395:D403)</f>
        <v>0</v>
      </c>
      <c r="E394" s="53">
        <f>SUM(E395:E403)</f>
        <v>0</v>
      </c>
      <c r="F394" s="53">
        <f>SUM(F395:F403)</f>
        <v>13830000</v>
      </c>
      <c r="G394" s="53">
        <f>SUM(G395:G403)</f>
        <v>13830000</v>
      </c>
      <c r="H394" s="25"/>
      <c r="I394" s="9"/>
      <c r="J394" s="56"/>
      <c r="K394" s="53"/>
      <c r="M394" s="52"/>
    </row>
    <row r="395" spans="1:13" ht="21" customHeight="1" x14ac:dyDescent="0.15">
      <c r="A395" s="7"/>
      <c r="B395" s="7" t="s">
        <v>133</v>
      </c>
      <c r="C395" s="7" t="s">
        <v>117</v>
      </c>
      <c r="D395" s="26">
        <v>0</v>
      </c>
      <c r="E395" s="26">
        <v>0</v>
      </c>
      <c r="F395" s="26">
        <f>SUM(J395:J397)</f>
        <v>4120000</v>
      </c>
      <c r="G395" s="75">
        <f>F395-D395</f>
        <v>4120000</v>
      </c>
      <c r="H395" s="24" t="s">
        <v>625</v>
      </c>
      <c r="I395" s="11" t="s">
        <v>586</v>
      </c>
      <c r="J395" s="57">
        <f>20000*13*10</f>
        <v>2600000</v>
      </c>
      <c r="K395" s="75"/>
      <c r="M395" s="52"/>
    </row>
    <row r="396" spans="1:13" ht="21" customHeight="1" x14ac:dyDescent="0.15">
      <c r="A396" s="7"/>
      <c r="B396" s="7"/>
      <c r="C396" s="7"/>
      <c r="D396" s="26"/>
      <c r="E396" s="26"/>
      <c r="F396" s="26"/>
      <c r="G396" s="75"/>
      <c r="H396" s="24" t="s">
        <v>119</v>
      </c>
      <c r="I396" s="11" t="s">
        <v>587</v>
      </c>
      <c r="J396" s="57">
        <f>4000*13*10</f>
        <v>520000</v>
      </c>
      <c r="K396" s="75"/>
      <c r="M396" s="52"/>
    </row>
    <row r="397" spans="1:13" ht="21" customHeight="1" x14ac:dyDescent="0.15">
      <c r="A397" s="7"/>
      <c r="B397" s="7"/>
      <c r="C397" s="6"/>
      <c r="D397" s="53"/>
      <c r="E397" s="53"/>
      <c r="F397" s="53"/>
      <c r="G397" s="72"/>
      <c r="H397" s="25" t="s">
        <v>120</v>
      </c>
      <c r="I397" s="9" t="s">
        <v>219</v>
      </c>
      <c r="J397" s="56">
        <f>500000*2</f>
        <v>1000000</v>
      </c>
      <c r="K397" s="72"/>
      <c r="M397" s="52"/>
    </row>
    <row r="398" spans="1:13" ht="21" customHeight="1" x14ac:dyDescent="0.15">
      <c r="A398" s="7"/>
      <c r="B398" s="7"/>
      <c r="C398" s="6" t="s">
        <v>58</v>
      </c>
      <c r="D398" s="53">
        <v>0</v>
      </c>
      <c r="E398" s="53">
        <v>0</v>
      </c>
      <c r="F398" s="53">
        <f t="shared" ref="F398:F403" si="15">SUM(J398)</f>
        <v>2520000</v>
      </c>
      <c r="G398" s="72">
        <f t="shared" ref="G398:G405" si="16">F398-D398</f>
        <v>2520000</v>
      </c>
      <c r="H398" s="25" t="s">
        <v>69</v>
      </c>
      <c r="I398" s="9" t="s">
        <v>589</v>
      </c>
      <c r="J398" s="56">
        <f>40000*7*9</f>
        <v>2520000</v>
      </c>
      <c r="K398" s="72"/>
      <c r="M398" s="52"/>
    </row>
    <row r="399" spans="1:13" ht="21" customHeight="1" x14ac:dyDescent="0.15">
      <c r="A399" s="7"/>
      <c r="B399" s="7"/>
      <c r="C399" s="6" t="s">
        <v>121</v>
      </c>
      <c r="D399" s="53">
        <v>0</v>
      </c>
      <c r="E399" s="53">
        <v>0</v>
      </c>
      <c r="F399" s="53">
        <f t="shared" si="15"/>
        <v>2000000</v>
      </c>
      <c r="G399" s="72">
        <f t="shared" si="16"/>
        <v>2000000</v>
      </c>
      <c r="H399" s="25" t="s">
        <v>626</v>
      </c>
      <c r="I399" s="9"/>
      <c r="J399" s="56">
        <v>2000000</v>
      </c>
      <c r="K399" s="72"/>
      <c r="M399" s="52"/>
    </row>
    <row r="400" spans="1:13" ht="21" customHeight="1" x14ac:dyDescent="0.15">
      <c r="A400" s="7"/>
      <c r="B400" s="7"/>
      <c r="C400" s="6" t="s">
        <v>35</v>
      </c>
      <c r="D400" s="53">
        <v>0</v>
      </c>
      <c r="E400" s="53">
        <v>0</v>
      </c>
      <c r="F400" s="53">
        <f t="shared" si="15"/>
        <v>1000000</v>
      </c>
      <c r="G400" s="72">
        <f t="shared" si="16"/>
        <v>1000000</v>
      </c>
      <c r="H400" s="25" t="s">
        <v>137</v>
      </c>
      <c r="I400" s="9"/>
      <c r="J400" s="56">
        <v>1000000</v>
      </c>
      <c r="K400" s="72"/>
      <c r="M400" s="52"/>
    </row>
    <row r="401" spans="1:13" ht="21" customHeight="1" x14ac:dyDescent="0.15">
      <c r="A401" s="7"/>
      <c r="B401" s="7"/>
      <c r="C401" s="6" t="s">
        <v>123</v>
      </c>
      <c r="D401" s="53">
        <v>0</v>
      </c>
      <c r="E401" s="53">
        <v>0</v>
      </c>
      <c r="F401" s="53">
        <f t="shared" si="15"/>
        <v>3000000</v>
      </c>
      <c r="G401" s="72">
        <f t="shared" si="16"/>
        <v>3000000</v>
      </c>
      <c r="H401" s="25" t="s">
        <v>124</v>
      </c>
      <c r="I401" s="9" t="s">
        <v>590</v>
      </c>
      <c r="J401" s="56">
        <f>1000000*3</f>
        <v>3000000</v>
      </c>
      <c r="K401" s="72"/>
      <c r="M401" s="52"/>
    </row>
    <row r="402" spans="1:13" ht="21" customHeight="1" x14ac:dyDescent="0.15">
      <c r="A402" s="7"/>
      <c r="B402" s="7"/>
      <c r="C402" s="6" t="s">
        <v>217</v>
      </c>
      <c r="D402" s="53">
        <v>0</v>
      </c>
      <c r="E402" s="53">
        <v>0</v>
      </c>
      <c r="F402" s="53">
        <f t="shared" si="15"/>
        <v>390000</v>
      </c>
      <c r="G402" s="72">
        <f t="shared" si="16"/>
        <v>390000</v>
      </c>
      <c r="H402" s="25" t="s">
        <v>628</v>
      </c>
      <c r="I402" s="9" t="s">
        <v>627</v>
      </c>
      <c r="J402" s="56">
        <f>30000*13</f>
        <v>390000</v>
      </c>
      <c r="K402" s="72"/>
      <c r="M402" s="52"/>
    </row>
    <row r="403" spans="1:13" ht="21" customHeight="1" x14ac:dyDescent="0.15">
      <c r="A403" s="7"/>
      <c r="B403" s="6"/>
      <c r="C403" s="6" t="s">
        <v>85</v>
      </c>
      <c r="D403" s="53">
        <v>0</v>
      </c>
      <c r="E403" s="53">
        <v>0</v>
      </c>
      <c r="F403" s="53">
        <f t="shared" si="15"/>
        <v>800000</v>
      </c>
      <c r="G403" s="72">
        <f t="shared" si="16"/>
        <v>800000</v>
      </c>
      <c r="H403" s="25" t="s">
        <v>86</v>
      </c>
      <c r="I403" s="9"/>
      <c r="J403" s="56">
        <v>800000</v>
      </c>
      <c r="K403" s="72"/>
      <c r="M403" s="52"/>
    </row>
    <row r="404" spans="1:13" ht="21" customHeight="1" x14ac:dyDescent="0.15">
      <c r="A404" s="7"/>
      <c r="B404" s="7" t="s">
        <v>132</v>
      </c>
      <c r="C404" s="6"/>
      <c r="D404" s="53">
        <v>21000000</v>
      </c>
      <c r="E404" s="53">
        <f>SUM(E405:E413)</f>
        <v>29501700</v>
      </c>
      <c r="F404" s="53">
        <f>SUM(F405:F413)</f>
        <v>27860000</v>
      </c>
      <c r="G404" s="72">
        <f t="shared" si="16"/>
        <v>6860000</v>
      </c>
      <c r="H404" s="8"/>
      <c r="I404" s="9"/>
      <c r="J404" s="56"/>
      <c r="K404" s="72"/>
      <c r="M404" s="52"/>
    </row>
    <row r="405" spans="1:13" ht="21" customHeight="1" x14ac:dyDescent="0.15">
      <c r="A405" s="7"/>
      <c r="B405" s="7" t="s">
        <v>133</v>
      </c>
      <c r="C405" s="18" t="s">
        <v>117</v>
      </c>
      <c r="D405" s="69">
        <v>6100000</v>
      </c>
      <c r="E405" s="69">
        <v>7455700</v>
      </c>
      <c r="F405" s="69">
        <f>SUM(J405:J407)</f>
        <v>9200000</v>
      </c>
      <c r="G405" s="73">
        <f t="shared" si="16"/>
        <v>3100000</v>
      </c>
      <c r="H405" s="15" t="s">
        <v>134</v>
      </c>
      <c r="I405" s="16" t="s">
        <v>629</v>
      </c>
      <c r="J405" s="59">
        <f>20000*15*20</f>
        <v>6000000</v>
      </c>
      <c r="K405" s="73"/>
      <c r="M405" s="52"/>
    </row>
    <row r="406" spans="1:13" ht="21" customHeight="1" x14ac:dyDescent="0.15">
      <c r="A406" s="7"/>
      <c r="B406" s="7" t="s">
        <v>501</v>
      </c>
      <c r="C406" s="7"/>
      <c r="D406" s="26"/>
      <c r="E406" s="26"/>
      <c r="F406" s="26"/>
      <c r="G406" s="75"/>
      <c r="H406" s="10" t="s">
        <v>119</v>
      </c>
      <c r="I406" s="11" t="s">
        <v>630</v>
      </c>
      <c r="J406" s="57">
        <f>4000*15*20</f>
        <v>1200000</v>
      </c>
      <c r="K406" s="75"/>
      <c r="M406" s="52"/>
    </row>
    <row r="407" spans="1:13" ht="21" customHeight="1" x14ac:dyDescent="0.15">
      <c r="A407" s="7"/>
      <c r="B407" s="7"/>
      <c r="C407" s="6"/>
      <c r="D407" s="53" t="s">
        <v>135</v>
      </c>
      <c r="E407" s="53"/>
      <c r="F407" s="53" t="s">
        <v>136</v>
      </c>
      <c r="G407" s="72"/>
      <c r="H407" s="8" t="s">
        <v>120</v>
      </c>
      <c r="I407" s="9" t="s">
        <v>631</v>
      </c>
      <c r="J407" s="56">
        <f>500000*4</f>
        <v>2000000</v>
      </c>
      <c r="K407" s="72"/>
      <c r="M407" s="52"/>
    </row>
    <row r="408" spans="1:13" ht="21" customHeight="1" x14ac:dyDescent="0.15">
      <c r="A408" s="7"/>
      <c r="B408" s="7"/>
      <c r="C408" s="6" t="s">
        <v>58</v>
      </c>
      <c r="D408" s="53">
        <f>40000*8*20</f>
        <v>6400000</v>
      </c>
      <c r="E408" s="53">
        <v>9420000</v>
      </c>
      <c r="F408" s="53">
        <f>SUM(J408)</f>
        <v>5760000</v>
      </c>
      <c r="G408" s="72">
        <f t="shared" ref="G408:G413" si="17">F408-D408</f>
        <v>-640000</v>
      </c>
      <c r="H408" s="8" t="s">
        <v>632</v>
      </c>
      <c r="I408" s="9" t="s">
        <v>633</v>
      </c>
      <c r="J408" s="56">
        <f>40000*8*18</f>
        <v>5760000</v>
      </c>
      <c r="K408" s="72"/>
      <c r="M408" s="52"/>
    </row>
    <row r="409" spans="1:13" ht="21" customHeight="1" x14ac:dyDescent="0.15">
      <c r="A409" s="7"/>
      <c r="B409" s="7"/>
      <c r="C409" s="6" t="s">
        <v>121</v>
      </c>
      <c r="D409" s="53">
        <v>2200000</v>
      </c>
      <c r="E409" s="53">
        <v>7616000</v>
      </c>
      <c r="F409" s="53">
        <f>SUM(J409)</f>
        <v>2000000</v>
      </c>
      <c r="G409" s="72">
        <f t="shared" si="17"/>
        <v>-200000</v>
      </c>
      <c r="H409" s="8" t="s">
        <v>131</v>
      </c>
      <c r="I409" s="9" t="s">
        <v>215</v>
      </c>
      <c r="J409" s="56">
        <v>2000000</v>
      </c>
      <c r="K409" s="72"/>
      <c r="M409" s="52"/>
    </row>
    <row r="410" spans="1:13" ht="21" customHeight="1" x14ac:dyDescent="0.15">
      <c r="A410" s="7"/>
      <c r="B410" s="7"/>
      <c r="C410" s="7" t="s">
        <v>35</v>
      </c>
      <c r="D410" s="26">
        <v>2000000</v>
      </c>
      <c r="E410" s="26"/>
      <c r="F410" s="26">
        <f>SUM(J410:J410)</f>
        <v>2000000</v>
      </c>
      <c r="G410" s="26">
        <f t="shared" si="17"/>
        <v>0</v>
      </c>
      <c r="H410" s="8" t="s">
        <v>137</v>
      </c>
      <c r="I410" s="9" t="s">
        <v>215</v>
      </c>
      <c r="J410" s="57">
        <v>2000000</v>
      </c>
      <c r="K410" s="26"/>
      <c r="M410" s="52"/>
    </row>
    <row r="411" spans="1:13" ht="21" customHeight="1" x14ac:dyDescent="0.15">
      <c r="A411" s="7"/>
      <c r="B411" s="7"/>
      <c r="C411" s="12" t="s">
        <v>123</v>
      </c>
      <c r="D411" s="51">
        <v>3000000</v>
      </c>
      <c r="E411" s="51">
        <v>4000000</v>
      </c>
      <c r="F411" s="51">
        <f>SUM(J411:J411)</f>
        <v>6000000</v>
      </c>
      <c r="G411" s="74">
        <f t="shared" si="17"/>
        <v>3000000</v>
      </c>
      <c r="H411" s="13" t="s">
        <v>124</v>
      </c>
      <c r="I411" s="14" t="s">
        <v>634</v>
      </c>
      <c r="J411" s="58">
        <f>1000000*3*2</f>
        <v>6000000</v>
      </c>
      <c r="K411" s="74"/>
      <c r="M411" s="52"/>
    </row>
    <row r="412" spans="1:13" ht="21" customHeight="1" x14ac:dyDescent="0.15">
      <c r="A412" s="7"/>
      <c r="B412" s="7"/>
      <c r="C412" s="6" t="s">
        <v>217</v>
      </c>
      <c r="D412" s="53">
        <v>800000</v>
      </c>
      <c r="E412" s="53">
        <v>330000</v>
      </c>
      <c r="F412" s="53">
        <f>SUM(J412)</f>
        <v>900000</v>
      </c>
      <c r="G412" s="72">
        <f t="shared" si="17"/>
        <v>100000</v>
      </c>
      <c r="H412" s="8" t="s">
        <v>628</v>
      </c>
      <c r="I412" s="9" t="s">
        <v>635</v>
      </c>
      <c r="J412" s="56">
        <f>30000*15*2</f>
        <v>900000</v>
      </c>
      <c r="K412" s="72"/>
      <c r="M412" s="52"/>
    </row>
    <row r="413" spans="1:13" ht="21" customHeight="1" x14ac:dyDescent="0.15">
      <c r="A413" s="7"/>
      <c r="B413" s="6"/>
      <c r="C413" s="6" t="s">
        <v>85</v>
      </c>
      <c r="D413" s="53">
        <v>500000</v>
      </c>
      <c r="E413" s="53">
        <v>680000</v>
      </c>
      <c r="F413" s="53">
        <f>SUM(J413)</f>
        <v>2000000</v>
      </c>
      <c r="G413" s="72">
        <f t="shared" si="17"/>
        <v>1500000</v>
      </c>
      <c r="H413" s="8" t="s">
        <v>86</v>
      </c>
      <c r="I413" s="9"/>
      <c r="J413" s="56">
        <v>2000000</v>
      </c>
      <c r="K413" s="72"/>
      <c r="M413" s="52"/>
    </row>
    <row r="414" spans="1:13" ht="21" customHeight="1" x14ac:dyDescent="0.15">
      <c r="A414" s="7"/>
      <c r="B414" s="7" t="s">
        <v>154</v>
      </c>
      <c r="C414" s="6"/>
      <c r="D414" s="53">
        <v>82000000</v>
      </c>
      <c r="E414" s="53">
        <f>SUM(E415:E424)</f>
        <v>0</v>
      </c>
      <c r="F414" s="53">
        <f>SUM(F415:F424)</f>
        <v>101720000</v>
      </c>
      <c r="G414" s="72">
        <f>SUM(G415:G424)</f>
        <v>19720000</v>
      </c>
      <c r="H414" s="8"/>
      <c r="I414" s="9"/>
      <c r="J414" s="56"/>
      <c r="K414" s="72"/>
      <c r="M414" s="52"/>
    </row>
    <row r="415" spans="1:13" ht="21" customHeight="1" x14ac:dyDescent="0.15">
      <c r="A415" s="7"/>
      <c r="B415" s="7" t="s">
        <v>220</v>
      </c>
      <c r="C415" s="18" t="s">
        <v>223</v>
      </c>
      <c r="D415" s="69">
        <v>27800000</v>
      </c>
      <c r="E415" s="69">
        <v>0</v>
      </c>
      <c r="F415" s="69">
        <f>SUM(J415:J417)</f>
        <v>37600000</v>
      </c>
      <c r="G415" s="73">
        <f>F415-D415</f>
        <v>9800000</v>
      </c>
      <c r="H415" s="15" t="s">
        <v>625</v>
      </c>
      <c r="I415" s="16" t="s">
        <v>636</v>
      </c>
      <c r="J415" s="59">
        <f>20000*35*40</f>
        <v>28000000</v>
      </c>
      <c r="K415" s="73"/>
      <c r="M415" s="52"/>
    </row>
    <row r="416" spans="1:13" ht="21" customHeight="1" x14ac:dyDescent="0.15">
      <c r="A416" s="7"/>
      <c r="B416" s="7" t="s">
        <v>221</v>
      </c>
      <c r="C416" s="7"/>
      <c r="D416" s="26"/>
      <c r="E416" s="26"/>
      <c r="F416" s="26"/>
      <c r="G416" s="75"/>
      <c r="H416" s="10" t="s">
        <v>119</v>
      </c>
      <c r="I416" s="11" t="s">
        <v>637</v>
      </c>
      <c r="J416" s="57">
        <f>4000*35*40</f>
        <v>5600000</v>
      </c>
      <c r="K416" s="75"/>
      <c r="M416" s="52"/>
    </row>
    <row r="417" spans="1:13" ht="21" customHeight="1" x14ac:dyDescent="0.15">
      <c r="A417" s="6"/>
      <c r="B417" s="6" t="s">
        <v>222</v>
      </c>
      <c r="C417" s="6"/>
      <c r="D417" s="53"/>
      <c r="E417" s="53"/>
      <c r="F417" s="53"/>
      <c r="G417" s="72"/>
      <c r="H417" s="8" t="s">
        <v>120</v>
      </c>
      <c r="I417" s="9" t="s">
        <v>638</v>
      </c>
      <c r="J417" s="56">
        <f>1000000*4</f>
        <v>4000000</v>
      </c>
      <c r="K417" s="72"/>
      <c r="M417" s="52"/>
    </row>
    <row r="418" spans="1:13" ht="18.75" customHeight="1" x14ac:dyDescent="0.15">
      <c r="A418" s="7" t="s">
        <v>116</v>
      </c>
      <c r="B418" s="7" t="s">
        <v>154</v>
      </c>
      <c r="C418" s="6" t="s">
        <v>224</v>
      </c>
      <c r="D418" s="53">
        <v>28800000</v>
      </c>
      <c r="E418" s="53">
        <v>0</v>
      </c>
      <c r="F418" s="53">
        <f>J418</f>
        <v>25920000</v>
      </c>
      <c r="G418" s="72">
        <f>F418-D418</f>
        <v>-2880000</v>
      </c>
      <c r="H418" s="8" t="s">
        <v>69</v>
      </c>
      <c r="I418" s="9" t="s">
        <v>639</v>
      </c>
      <c r="J418" s="56">
        <f>40000*18*36</f>
        <v>25920000</v>
      </c>
      <c r="K418" s="72"/>
      <c r="M418" s="52"/>
    </row>
    <row r="419" spans="1:13" ht="18.75" customHeight="1" x14ac:dyDescent="0.15">
      <c r="A419" s="7"/>
      <c r="B419" s="7" t="s">
        <v>220</v>
      </c>
      <c r="C419" s="6" t="s">
        <v>121</v>
      </c>
      <c r="D419" s="53">
        <v>0</v>
      </c>
      <c r="E419" s="53">
        <v>0</v>
      </c>
      <c r="F419" s="53">
        <f>J419</f>
        <v>4000000</v>
      </c>
      <c r="G419" s="72">
        <f>F419-D419</f>
        <v>4000000</v>
      </c>
      <c r="H419" s="8" t="s">
        <v>626</v>
      </c>
      <c r="I419" s="9"/>
      <c r="J419" s="56">
        <v>4000000</v>
      </c>
      <c r="K419" s="72"/>
      <c r="M419" s="52"/>
    </row>
    <row r="420" spans="1:13" ht="18.75" customHeight="1" x14ac:dyDescent="0.15">
      <c r="A420" s="7"/>
      <c r="B420" s="7" t="s">
        <v>221</v>
      </c>
      <c r="C420" s="6" t="s">
        <v>225</v>
      </c>
      <c r="D420" s="53">
        <v>4000000</v>
      </c>
      <c r="E420" s="53">
        <v>0</v>
      </c>
      <c r="F420" s="53">
        <f>J420</f>
        <v>4000000</v>
      </c>
      <c r="G420" s="53">
        <f>F420-D420</f>
        <v>0</v>
      </c>
      <c r="H420" s="8" t="s">
        <v>137</v>
      </c>
      <c r="I420" s="9"/>
      <c r="J420" s="56">
        <v>4000000</v>
      </c>
      <c r="K420" s="53"/>
      <c r="M420" s="52"/>
    </row>
    <row r="421" spans="1:13" ht="18.75" customHeight="1" x14ac:dyDescent="0.15">
      <c r="A421" s="7"/>
      <c r="B421" s="7" t="s">
        <v>222</v>
      </c>
      <c r="C421" s="18" t="s">
        <v>226</v>
      </c>
      <c r="D421" s="69">
        <v>18000000</v>
      </c>
      <c r="E421" s="69">
        <v>0</v>
      </c>
      <c r="F421" s="69">
        <f>SUM(J421:J422)</f>
        <v>22000000</v>
      </c>
      <c r="G421" s="73">
        <f>F421-D421</f>
        <v>4000000</v>
      </c>
      <c r="H421" s="15" t="s">
        <v>124</v>
      </c>
      <c r="I421" s="16" t="s">
        <v>640</v>
      </c>
      <c r="J421" s="59">
        <f>1500000*1*4</f>
        <v>6000000</v>
      </c>
      <c r="K421" s="73"/>
      <c r="M421" s="52"/>
    </row>
    <row r="422" spans="1:13" ht="18.75" customHeight="1" x14ac:dyDescent="0.15">
      <c r="A422" s="7"/>
      <c r="B422" s="7"/>
      <c r="C422" s="6"/>
      <c r="D422" s="53"/>
      <c r="E422" s="53"/>
      <c r="F422" s="53"/>
      <c r="G422" s="72"/>
      <c r="H422" s="8"/>
      <c r="I422" s="9" t="s">
        <v>641</v>
      </c>
      <c r="J422" s="56">
        <f>1000000*4*4</f>
        <v>16000000</v>
      </c>
      <c r="K422" s="72"/>
      <c r="M422" s="52"/>
    </row>
    <row r="423" spans="1:13" ht="18.75" customHeight="1" x14ac:dyDescent="0.15">
      <c r="A423" s="7"/>
      <c r="B423" s="7"/>
      <c r="C423" s="6" t="s">
        <v>217</v>
      </c>
      <c r="D423" s="53">
        <v>1400000</v>
      </c>
      <c r="E423" s="53">
        <v>0</v>
      </c>
      <c r="F423" s="53">
        <f>J423</f>
        <v>4200000</v>
      </c>
      <c r="G423" s="72">
        <f>F423-D423</f>
        <v>2800000</v>
      </c>
      <c r="H423" s="8" t="s">
        <v>642</v>
      </c>
      <c r="I423" s="9" t="s">
        <v>643</v>
      </c>
      <c r="J423" s="56">
        <f>30000*35*4</f>
        <v>4200000</v>
      </c>
      <c r="K423" s="72"/>
      <c r="M423" s="52"/>
    </row>
    <row r="424" spans="1:13" ht="18.75" customHeight="1" x14ac:dyDescent="0.15">
      <c r="A424" s="7"/>
      <c r="B424" s="6"/>
      <c r="C424" s="6" t="s">
        <v>227</v>
      </c>
      <c r="D424" s="53">
        <v>2000000</v>
      </c>
      <c r="E424" s="53">
        <v>0</v>
      </c>
      <c r="F424" s="53">
        <f>J424</f>
        <v>4000000</v>
      </c>
      <c r="G424" s="72">
        <f>F424-D424</f>
        <v>2000000</v>
      </c>
      <c r="H424" s="8" t="s">
        <v>86</v>
      </c>
      <c r="I424" s="9"/>
      <c r="J424" s="56">
        <v>4000000</v>
      </c>
      <c r="K424" s="72"/>
      <c r="M424" s="52"/>
    </row>
    <row r="425" spans="1:13" ht="18.75" customHeight="1" x14ac:dyDescent="0.15">
      <c r="A425" s="7"/>
      <c r="B425" s="7" t="s">
        <v>129</v>
      </c>
      <c r="C425" s="6"/>
      <c r="D425" s="53">
        <v>12020000</v>
      </c>
      <c r="E425" s="51">
        <f>SUM(E426:E435)</f>
        <v>13378720</v>
      </c>
      <c r="F425" s="51">
        <f>SUM(F426:F435)</f>
        <v>12730000</v>
      </c>
      <c r="G425" s="74">
        <f>SUM(G426:G435)</f>
        <v>710000</v>
      </c>
      <c r="H425" s="98"/>
      <c r="I425" s="14"/>
      <c r="J425" s="58"/>
      <c r="K425" s="74"/>
      <c r="M425" s="52"/>
    </row>
    <row r="426" spans="1:13" ht="18.75" customHeight="1" x14ac:dyDescent="0.15">
      <c r="A426" s="7"/>
      <c r="B426" s="7" t="s">
        <v>152</v>
      </c>
      <c r="C426" s="7" t="s">
        <v>117</v>
      </c>
      <c r="D426" s="26">
        <v>2710000</v>
      </c>
      <c r="E426" s="26">
        <v>4440700</v>
      </c>
      <c r="F426" s="26">
        <f>SUM(J426:J428)</f>
        <v>4120000</v>
      </c>
      <c r="G426" s="75">
        <f>F426-D426</f>
        <v>1410000</v>
      </c>
      <c r="H426" s="10" t="s">
        <v>118</v>
      </c>
      <c r="I426" s="11" t="s">
        <v>586</v>
      </c>
      <c r="J426" s="57">
        <f>20000*13*10</f>
        <v>2600000</v>
      </c>
      <c r="K426" s="75"/>
      <c r="M426" s="52"/>
    </row>
    <row r="427" spans="1:13" ht="18.75" customHeight="1" x14ac:dyDescent="0.15">
      <c r="A427" s="7"/>
      <c r="B427" s="7" t="s">
        <v>218</v>
      </c>
      <c r="C427" s="7"/>
      <c r="D427" s="26"/>
      <c r="E427" s="26"/>
      <c r="F427" s="26"/>
      <c r="G427" s="75"/>
      <c r="H427" s="10" t="s">
        <v>119</v>
      </c>
      <c r="I427" s="11" t="s">
        <v>587</v>
      </c>
      <c r="J427" s="57">
        <f>4000*13*10</f>
        <v>520000</v>
      </c>
      <c r="K427" s="75"/>
      <c r="M427" s="52"/>
    </row>
    <row r="428" spans="1:13" ht="18.75" customHeight="1" x14ac:dyDescent="0.15">
      <c r="A428" s="7"/>
      <c r="B428" s="7"/>
      <c r="C428" s="6"/>
      <c r="D428" s="53"/>
      <c r="E428" s="53"/>
      <c r="F428" s="53"/>
      <c r="G428" s="72"/>
      <c r="H428" s="8" t="s">
        <v>120</v>
      </c>
      <c r="I428" s="9" t="s">
        <v>219</v>
      </c>
      <c r="J428" s="56">
        <f>500000*2</f>
        <v>1000000</v>
      </c>
      <c r="K428" s="72"/>
      <c r="M428" s="52"/>
    </row>
    <row r="429" spans="1:13" ht="18.75" customHeight="1" x14ac:dyDescent="0.15">
      <c r="A429" s="7"/>
      <c r="B429" s="7"/>
      <c r="C429" s="12" t="s">
        <v>588</v>
      </c>
      <c r="D429" s="51">
        <f>15000*13*10</f>
        <v>1950000</v>
      </c>
      <c r="E429" s="51">
        <v>3851000</v>
      </c>
      <c r="F429" s="51">
        <f>SUM(J429)</f>
        <v>2520000</v>
      </c>
      <c r="G429" s="74">
        <f t="shared" ref="G429:G437" si="18">F429-D429</f>
        <v>570000</v>
      </c>
      <c r="H429" s="13" t="s">
        <v>69</v>
      </c>
      <c r="I429" s="14" t="s">
        <v>589</v>
      </c>
      <c r="J429" s="58">
        <f>40000*7*9</f>
        <v>2520000</v>
      </c>
      <c r="K429" s="74"/>
      <c r="M429" s="52"/>
    </row>
    <row r="430" spans="1:13" ht="18.75" customHeight="1" x14ac:dyDescent="0.15">
      <c r="A430" s="7"/>
      <c r="B430" s="7"/>
      <c r="C430" s="7" t="s">
        <v>121</v>
      </c>
      <c r="D430" s="26">
        <v>4600000</v>
      </c>
      <c r="E430" s="26">
        <v>1320000</v>
      </c>
      <c r="F430" s="26">
        <f>SUM(J430:J430)</f>
        <v>1000000</v>
      </c>
      <c r="G430" s="75">
        <f t="shared" si="18"/>
        <v>-3600000</v>
      </c>
      <c r="H430" s="10" t="s">
        <v>130</v>
      </c>
      <c r="I430" s="11"/>
      <c r="J430" s="57">
        <v>1000000</v>
      </c>
      <c r="K430" s="75"/>
      <c r="M430" s="52"/>
    </row>
    <row r="431" spans="1:13" ht="18.75" customHeight="1" x14ac:dyDescent="0.15">
      <c r="A431" s="7"/>
      <c r="B431" s="7"/>
      <c r="C431" s="18" t="s">
        <v>35</v>
      </c>
      <c r="D431" s="69">
        <v>600000</v>
      </c>
      <c r="E431" s="69">
        <v>0</v>
      </c>
      <c r="F431" s="69">
        <f>SUM(J431:J431)</f>
        <v>1000000</v>
      </c>
      <c r="G431" s="73">
        <f t="shared" si="18"/>
        <v>400000</v>
      </c>
      <c r="H431" s="15" t="s">
        <v>137</v>
      </c>
      <c r="I431" s="16"/>
      <c r="J431" s="59">
        <v>1000000</v>
      </c>
      <c r="K431" s="73"/>
      <c r="M431" s="52"/>
    </row>
    <row r="432" spans="1:13" ht="18.75" customHeight="1" x14ac:dyDescent="0.15">
      <c r="A432" s="7"/>
      <c r="B432" s="7"/>
      <c r="C432" s="12" t="s">
        <v>123</v>
      </c>
      <c r="D432" s="51">
        <v>1500000</v>
      </c>
      <c r="E432" s="51">
        <v>3000000</v>
      </c>
      <c r="F432" s="51">
        <f>SUM(J432:J432)</f>
        <v>3000000</v>
      </c>
      <c r="G432" s="74">
        <f t="shared" si="18"/>
        <v>1500000</v>
      </c>
      <c r="H432" s="13" t="s">
        <v>124</v>
      </c>
      <c r="I432" s="14" t="s">
        <v>590</v>
      </c>
      <c r="J432" s="58">
        <f>1000000*3</f>
        <v>3000000</v>
      </c>
      <c r="K432" s="74"/>
      <c r="M432" s="52"/>
    </row>
    <row r="433" spans="1:13" ht="18.75" customHeight="1" x14ac:dyDescent="0.15">
      <c r="A433" s="7"/>
      <c r="B433" s="7"/>
      <c r="C433" s="6" t="s">
        <v>217</v>
      </c>
      <c r="D433" s="53">
        <v>260000</v>
      </c>
      <c r="E433" s="53">
        <v>335000</v>
      </c>
      <c r="F433" s="53">
        <f>SUM(J433)</f>
        <v>390000</v>
      </c>
      <c r="G433" s="72">
        <f t="shared" si="18"/>
        <v>130000</v>
      </c>
      <c r="H433" s="8" t="s">
        <v>628</v>
      </c>
      <c r="I433" s="9" t="s">
        <v>591</v>
      </c>
      <c r="J433" s="56">
        <f>30000*13*1</f>
        <v>390000</v>
      </c>
      <c r="K433" s="72"/>
      <c r="M433" s="52"/>
    </row>
    <row r="434" spans="1:13" ht="18.75" customHeight="1" x14ac:dyDescent="0.15">
      <c r="A434" s="7"/>
      <c r="B434" s="7"/>
      <c r="C434" s="6" t="s">
        <v>126</v>
      </c>
      <c r="D434" s="53">
        <v>400000</v>
      </c>
      <c r="E434" s="53">
        <v>70020</v>
      </c>
      <c r="F434" s="53">
        <f>SUM(J434)</f>
        <v>200000</v>
      </c>
      <c r="G434" s="72">
        <f t="shared" si="18"/>
        <v>-200000</v>
      </c>
      <c r="H434" s="25" t="s">
        <v>128</v>
      </c>
      <c r="I434" s="9"/>
      <c r="J434" s="56">
        <v>200000</v>
      </c>
      <c r="K434" s="72"/>
      <c r="M434" s="52"/>
    </row>
    <row r="435" spans="1:13" ht="18.75" customHeight="1" x14ac:dyDescent="0.15">
      <c r="A435" s="7"/>
      <c r="B435" s="6"/>
      <c r="C435" s="12" t="s">
        <v>85</v>
      </c>
      <c r="D435" s="51">
        <v>0</v>
      </c>
      <c r="E435" s="51">
        <v>362000</v>
      </c>
      <c r="F435" s="51">
        <f>SUM(J435)</f>
        <v>500000</v>
      </c>
      <c r="G435" s="51">
        <f t="shared" si="18"/>
        <v>500000</v>
      </c>
      <c r="H435" s="79" t="s">
        <v>86</v>
      </c>
      <c r="I435" s="14"/>
      <c r="J435" s="58">
        <v>500000</v>
      </c>
      <c r="K435" s="51"/>
      <c r="M435" s="52"/>
    </row>
    <row r="436" spans="1:13" ht="18.75" customHeight="1" x14ac:dyDescent="0.15">
      <c r="A436" s="7"/>
      <c r="B436" s="7" t="s">
        <v>138</v>
      </c>
      <c r="C436" s="12"/>
      <c r="D436" s="51">
        <v>113687200</v>
      </c>
      <c r="E436" s="51">
        <f>SUM(E437)</f>
        <v>122478700</v>
      </c>
      <c r="F436" s="51">
        <f>SUM(F437)</f>
        <v>128642560</v>
      </c>
      <c r="G436" s="74">
        <f t="shared" si="18"/>
        <v>14955360</v>
      </c>
      <c r="H436" s="13"/>
      <c r="I436" s="14"/>
      <c r="J436" s="58"/>
      <c r="K436" s="74"/>
      <c r="M436" s="52"/>
    </row>
    <row r="437" spans="1:13" ht="18.75" customHeight="1" x14ac:dyDescent="0.15">
      <c r="A437" s="7"/>
      <c r="B437" s="7"/>
      <c r="C437" s="7"/>
      <c r="D437" s="26">
        <v>113687200</v>
      </c>
      <c r="E437" s="26">
        <v>122478700</v>
      </c>
      <c r="F437" s="26">
        <f>SUM(J437:J439)</f>
        <v>128642560</v>
      </c>
      <c r="G437" s="75">
        <f t="shared" si="18"/>
        <v>14955360</v>
      </c>
      <c r="H437" s="10" t="s">
        <v>437</v>
      </c>
      <c r="I437" s="11"/>
      <c r="J437" s="57">
        <v>46547000</v>
      </c>
      <c r="K437" s="75"/>
      <c r="M437" s="52"/>
    </row>
    <row r="438" spans="1:13" ht="18.75" customHeight="1" x14ac:dyDescent="0.15">
      <c r="A438" s="7"/>
      <c r="B438" s="7"/>
      <c r="C438" s="7"/>
      <c r="D438" s="26"/>
      <c r="E438" s="26"/>
      <c r="F438" s="26"/>
      <c r="G438" s="75"/>
      <c r="H438" s="10" t="s">
        <v>438</v>
      </c>
      <c r="I438" s="11"/>
      <c r="J438" s="57">
        <v>45424000</v>
      </c>
      <c r="K438" s="75"/>
      <c r="M438" s="52"/>
    </row>
    <row r="439" spans="1:13" ht="18.75" customHeight="1" x14ac:dyDescent="0.15">
      <c r="A439" s="7"/>
      <c r="B439" s="6"/>
      <c r="C439" s="6"/>
      <c r="D439" s="53"/>
      <c r="E439" s="53"/>
      <c r="F439" s="53"/>
      <c r="G439" s="72"/>
      <c r="H439" s="8" t="s">
        <v>246</v>
      </c>
      <c r="I439" s="9"/>
      <c r="J439" s="56">
        <f>33671560+3000000</f>
        <v>36671560</v>
      </c>
      <c r="K439" s="72"/>
      <c r="M439" s="52"/>
    </row>
    <row r="440" spans="1:13" ht="18.75" customHeight="1" x14ac:dyDescent="0.15">
      <c r="A440" s="7"/>
      <c r="B440" s="7" t="s">
        <v>432</v>
      </c>
      <c r="C440" s="12"/>
      <c r="D440" s="51">
        <f>SUM(D441:D444)</f>
        <v>0</v>
      </c>
      <c r="E440" s="51">
        <f>SUM(E441:E444)</f>
        <v>104951212</v>
      </c>
      <c r="F440" s="51">
        <f>SUM(F441:F444)</f>
        <v>106590000</v>
      </c>
      <c r="G440" s="51">
        <f>SUM(G441:G444)</f>
        <v>106590000</v>
      </c>
      <c r="H440" s="99"/>
      <c r="I440" s="99"/>
      <c r="J440" s="100"/>
      <c r="K440" s="51"/>
      <c r="M440" s="52"/>
    </row>
    <row r="441" spans="1:13" ht="18.75" customHeight="1" x14ac:dyDescent="0.15">
      <c r="A441" s="7"/>
      <c r="B441" s="7"/>
      <c r="C441" s="7"/>
      <c r="D441" s="26">
        <v>0</v>
      </c>
      <c r="E441" s="26">
        <v>104951212</v>
      </c>
      <c r="F441" s="26">
        <f>SUM(J441:J444)</f>
        <v>106590000</v>
      </c>
      <c r="G441" s="75">
        <f>F441-D441</f>
        <v>106590000</v>
      </c>
      <c r="H441" s="10" t="s">
        <v>433</v>
      </c>
      <c r="I441" s="11"/>
      <c r="J441" s="57">
        <v>5220000</v>
      </c>
      <c r="K441" s="75"/>
      <c r="M441" s="52"/>
    </row>
    <row r="442" spans="1:13" ht="18.75" customHeight="1" x14ac:dyDescent="0.15">
      <c r="A442" s="7"/>
      <c r="B442" s="7"/>
      <c r="C442" s="7"/>
      <c r="D442" s="26"/>
      <c r="E442" s="26"/>
      <c r="F442" s="26"/>
      <c r="G442" s="75"/>
      <c r="H442" s="10" t="s">
        <v>434</v>
      </c>
      <c r="I442" s="11"/>
      <c r="J442" s="57">
        <v>25100000</v>
      </c>
      <c r="K442" s="75"/>
      <c r="M442" s="52"/>
    </row>
    <row r="443" spans="1:13" ht="18.75" customHeight="1" x14ac:dyDescent="0.15">
      <c r="A443" s="7"/>
      <c r="B443" s="7"/>
      <c r="C443" s="7"/>
      <c r="D443" s="26"/>
      <c r="E443" s="26"/>
      <c r="F443" s="26"/>
      <c r="G443" s="75"/>
      <c r="H443" s="10" t="s">
        <v>435</v>
      </c>
      <c r="I443" s="11"/>
      <c r="J443" s="57">
        <v>41770000</v>
      </c>
      <c r="K443" s="75"/>
      <c r="M443" s="52"/>
    </row>
    <row r="444" spans="1:13" ht="18.75" customHeight="1" x14ac:dyDescent="0.15">
      <c r="A444" s="6"/>
      <c r="B444" s="6"/>
      <c r="C444" s="6"/>
      <c r="D444" s="53"/>
      <c r="E444" s="53">
        <f>434208893-E445</f>
        <v>0</v>
      </c>
      <c r="F444" s="53"/>
      <c r="G444" s="72"/>
      <c r="H444" s="8" t="s">
        <v>436</v>
      </c>
      <c r="I444" s="9"/>
      <c r="J444" s="56">
        <v>34500000</v>
      </c>
      <c r="K444" s="72"/>
      <c r="M444" s="52"/>
    </row>
    <row r="445" spans="1:13" ht="23.25" customHeight="1" x14ac:dyDescent="0.15">
      <c r="A445" s="18" t="s">
        <v>139</v>
      </c>
      <c r="B445" s="12"/>
      <c r="C445" s="12"/>
      <c r="D445" s="51">
        <v>412863800</v>
      </c>
      <c r="E445" s="51">
        <f>E446+E476+E494+E510+E514+E527+E536+E545+E574+E601+E607+E610+E615+E626+E630+E632+E635+E642+E645</f>
        <v>434208893</v>
      </c>
      <c r="F445" s="51">
        <f>F446+F467+F476+F494+F519+F527+F536+F545+F557+F564+F574+F584+F601+F607+F610+F615+F642+F645+F590</f>
        <v>738440730</v>
      </c>
      <c r="G445" s="51">
        <f>G446+G467+G476+G494+G519+G527+G536+G545+G557+G564+G574+G584+G601+G607+G610+G615+G642+G645</f>
        <v>295561730</v>
      </c>
      <c r="H445" s="98"/>
      <c r="I445" s="14"/>
      <c r="J445" s="58"/>
      <c r="K445" s="51"/>
      <c r="M445" s="52"/>
    </row>
    <row r="446" spans="1:13" ht="23.25" customHeight="1" x14ac:dyDescent="0.15">
      <c r="A446" s="7"/>
      <c r="B446" s="7" t="s">
        <v>229</v>
      </c>
      <c r="C446" s="54"/>
      <c r="D446" s="53">
        <v>65850000</v>
      </c>
      <c r="E446" s="53">
        <f>SUM(E447:E466)</f>
        <v>66132895</v>
      </c>
      <c r="F446" s="53">
        <f>SUM(F447:F466)</f>
        <v>126138500</v>
      </c>
      <c r="G446" s="72">
        <f>F446-D446</f>
        <v>60288500</v>
      </c>
      <c r="H446" s="8"/>
      <c r="I446" s="9"/>
      <c r="J446" s="56"/>
      <c r="K446" s="72"/>
      <c r="M446" s="52"/>
    </row>
    <row r="447" spans="1:13" ht="23.25" customHeight="1" x14ac:dyDescent="0.15">
      <c r="A447" s="7"/>
      <c r="B447" s="7" t="s">
        <v>269</v>
      </c>
      <c r="C447" s="101" t="s">
        <v>141</v>
      </c>
      <c r="D447" s="102">
        <v>16900000</v>
      </c>
      <c r="E447" s="105">
        <v>16182900</v>
      </c>
      <c r="F447" s="102">
        <f>SUM(J447:J448)</f>
        <v>22125500</v>
      </c>
      <c r="G447" s="75">
        <f>F447-D447</f>
        <v>5225500</v>
      </c>
      <c r="H447" s="15" t="s">
        <v>270</v>
      </c>
      <c r="I447" s="27" t="s">
        <v>418</v>
      </c>
      <c r="J447" s="103">
        <f>582250*19</f>
        <v>11062750</v>
      </c>
      <c r="K447" s="75"/>
      <c r="M447" s="52"/>
    </row>
    <row r="448" spans="1:13" ht="23.25" customHeight="1" x14ac:dyDescent="0.15">
      <c r="A448" s="7"/>
      <c r="B448" s="7"/>
      <c r="C448" s="101"/>
      <c r="D448" s="102"/>
      <c r="E448" s="88"/>
      <c r="F448" s="88"/>
      <c r="G448" s="72"/>
      <c r="H448" s="436" t="s">
        <v>649</v>
      </c>
      <c r="I448" s="437"/>
      <c r="J448" s="65">
        <f>582250*19</f>
        <v>11062750</v>
      </c>
      <c r="K448" s="72"/>
      <c r="M448" s="52"/>
    </row>
    <row r="449" spans="1:13" ht="23.25" customHeight="1" x14ac:dyDescent="0.15">
      <c r="A449" s="7"/>
      <c r="B449" s="7"/>
      <c r="C449" s="104" t="s">
        <v>143</v>
      </c>
      <c r="D449" s="105">
        <v>38000000</v>
      </c>
      <c r="E449" s="102">
        <v>35197912</v>
      </c>
      <c r="F449" s="102">
        <f>SUM(J449:J462)</f>
        <v>93513000</v>
      </c>
      <c r="G449" s="73">
        <f>F449-D449</f>
        <v>55513000</v>
      </c>
      <c r="H449" s="29" t="s">
        <v>275</v>
      </c>
      <c r="I449" s="20" t="s">
        <v>618</v>
      </c>
      <c r="J449" s="64">
        <f>180*4*1740*11</f>
        <v>13780800</v>
      </c>
      <c r="K449" s="73"/>
      <c r="M449" s="52"/>
    </row>
    <row r="450" spans="1:13" ht="23.25" customHeight="1" x14ac:dyDescent="0.15">
      <c r="A450" s="7"/>
      <c r="B450" s="7"/>
      <c r="C450" s="101"/>
      <c r="D450" s="102"/>
      <c r="E450" s="102"/>
      <c r="F450" s="102"/>
      <c r="G450" s="75"/>
      <c r="H450" s="434" t="s">
        <v>619</v>
      </c>
      <c r="I450" s="435"/>
      <c r="J450" s="64">
        <f>180*1*11*1740</f>
        <v>3445200</v>
      </c>
      <c r="K450" s="75"/>
      <c r="M450" s="52"/>
    </row>
    <row r="451" spans="1:13" ht="23.25" customHeight="1" x14ac:dyDescent="0.15">
      <c r="A451" s="7"/>
      <c r="B451" s="7"/>
      <c r="C451" s="101"/>
      <c r="D451" s="102"/>
      <c r="E451" s="102"/>
      <c r="F451" s="102"/>
      <c r="G451" s="75"/>
      <c r="H451" s="29"/>
      <c r="I451" s="20" t="s">
        <v>273</v>
      </c>
      <c r="J451" s="64">
        <f>180*2*11*1740</f>
        <v>6890400</v>
      </c>
      <c r="K451" s="75"/>
      <c r="M451" s="52"/>
    </row>
    <row r="452" spans="1:13" ht="23.25" customHeight="1" x14ac:dyDescent="0.15">
      <c r="A452" s="7"/>
      <c r="B452" s="7"/>
      <c r="C452" s="101"/>
      <c r="D452" s="102"/>
      <c r="E452" s="102"/>
      <c r="F452" s="102"/>
      <c r="G452" s="75"/>
      <c r="H452" s="29" t="s">
        <v>616</v>
      </c>
      <c r="I452" s="20" t="s">
        <v>272</v>
      </c>
      <c r="J452" s="64">
        <f>150*12*11*1740</f>
        <v>34452000</v>
      </c>
      <c r="K452" s="75"/>
      <c r="M452" s="52"/>
    </row>
    <row r="453" spans="1:13" ht="23.25" customHeight="1" x14ac:dyDescent="0.15">
      <c r="A453" s="7"/>
      <c r="B453" s="7"/>
      <c r="C453" s="101"/>
      <c r="D453" s="102"/>
      <c r="E453" s="102"/>
      <c r="F453" s="102"/>
      <c r="G453" s="75"/>
      <c r="H453" s="29" t="s">
        <v>617</v>
      </c>
      <c r="I453" s="20" t="s">
        <v>274</v>
      </c>
      <c r="J453" s="64">
        <f>-(150*7*9*1740)</f>
        <v>-16443000</v>
      </c>
      <c r="K453" s="75"/>
      <c r="M453" s="52"/>
    </row>
    <row r="454" spans="1:13" ht="23.25" customHeight="1" x14ac:dyDescent="0.15">
      <c r="A454" s="7"/>
      <c r="B454" s="7"/>
      <c r="C454" s="101"/>
      <c r="D454" s="102"/>
      <c r="E454" s="102"/>
      <c r="F454" s="102"/>
      <c r="G454" s="75"/>
      <c r="H454" s="29" t="s">
        <v>276</v>
      </c>
      <c r="I454" s="20" t="s">
        <v>277</v>
      </c>
      <c r="J454" s="64">
        <f>180*2*9*1740</f>
        <v>5637600</v>
      </c>
      <c r="K454" s="75"/>
      <c r="M454" s="52"/>
    </row>
    <row r="455" spans="1:13" ht="23.25" customHeight="1" x14ac:dyDescent="0.15">
      <c r="A455" s="7"/>
      <c r="B455" s="7"/>
      <c r="C455" s="101"/>
      <c r="D455" s="102"/>
      <c r="E455" s="102"/>
      <c r="F455" s="102"/>
      <c r="G455" s="75"/>
      <c r="H455" s="29" t="s">
        <v>615</v>
      </c>
      <c r="I455" s="20" t="s">
        <v>278</v>
      </c>
      <c r="J455" s="64">
        <f>150*4*9*1740</f>
        <v>9396000</v>
      </c>
      <c r="K455" s="75"/>
      <c r="M455" s="52"/>
    </row>
    <row r="456" spans="1:13" ht="23.25" customHeight="1" x14ac:dyDescent="0.15">
      <c r="A456" s="7"/>
      <c r="B456" s="7"/>
      <c r="C456" s="101"/>
      <c r="D456" s="102"/>
      <c r="E456" s="102"/>
      <c r="F456" s="102"/>
      <c r="G456" s="75"/>
      <c r="H456" s="29" t="s">
        <v>280</v>
      </c>
      <c r="I456" s="20" t="s">
        <v>281</v>
      </c>
      <c r="J456" s="64">
        <f>150*10*9*1740</f>
        <v>23490000</v>
      </c>
      <c r="K456" s="75"/>
      <c r="M456" s="52"/>
    </row>
    <row r="457" spans="1:13" ht="23.25" customHeight="1" x14ac:dyDescent="0.15">
      <c r="A457" s="7"/>
      <c r="B457" s="7"/>
      <c r="C457" s="101"/>
      <c r="D457" s="102"/>
      <c r="E457" s="102"/>
      <c r="F457" s="102"/>
      <c r="G457" s="75"/>
      <c r="H457" s="29" t="s">
        <v>282</v>
      </c>
      <c r="I457" s="20" t="s">
        <v>277</v>
      </c>
      <c r="J457" s="64">
        <f>180*2*1740*9</f>
        <v>5637600</v>
      </c>
      <c r="K457" s="75"/>
      <c r="M457" s="52"/>
    </row>
    <row r="458" spans="1:13" ht="23.25" customHeight="1" x14ac:dyDescent="0.15">
      <c r="A458" s="7"/>
      <c r="B458" s="7"/>
      <c r="C458" s="101"/>
      <c r="D458" s="102"/>
      <c r="E458" s="102"/>
      <c r="F458" s="102"/>
      <c r="G458" s="75"/>
      <c r="H458" s="29" t="s">
        <v>288</v>
      </c>
      <c r="I458" s="20" t="s">
        <v>283</v>
      </c>
      <c r="J458" s="64">
        <f>150*1*1*1740</f>
        <v>261000</v>
      </c>
      <c r="K458" s="75"/>
      <c r="M458" s="52"/>
    </row>
    <row r="459" spans="1:13" ht="23.25" customHeight="1" x14ac:dyDescent="0.15">
      <c r="A459" s="7"/>
      <c r="B459" s="7"/>
      <c r="C459" s="101"/>
      <c r="D459" s="102"/>
      <c r="E459" s="102"/>
      <c r="F459" s="102"/>
      <c r="G459" s="75"/>
      <c r="H459" s="29" t="s">
        <v>119</v>
      </c>
      <c r="I459" s="20" t="s">
        <v>419</v>
      </c>
      <c r="J459" s="64">
        <f>10*19*12*1350</f>
        <v>3078000</v>
      </c>
      <c r="K459" s="75"/>
      <c r="M459" s="52"/>
    </row>
    <row r="460" spans="1:13" ht="23.25" customHeight="1" x14ac:dyDescent="0.15">
      <c r="A460" s="7"/>
      <c r="B460" s="7"/>
      <c r="C460" s="101"/>
      <c r="D460" s="102"/>
      <c r="E460" s="102"/>
      <c r="F460" s="102"/>
      <c r="G460" s="75"/>
      <c r="H460" s="29"/>
      <c r="I460" s="20" t="s">
        <v>284</v>
      </c>
      <c r="J460" s="64">
        <f>10*19*10*1350</f>
        <v>2565000</v>
      </c>
      <c r="K460" s="75"/>
      <c r="M460" s="52"/>
    </row>
    <row r="461" spans="1:13" ht="23.25" customHeight="1" x14ac:dyDescent="0.15">
      <c r="A461" s="7"/>
      <c r="B461" s="7"/>
      <c r="C461" s="7"/>
      <c r="D461" s="102"/>
      <c r="E461" s="102"/>
      <c r="F461" s="102"/>
      <c r="G461" s="75"/>
      <c r="H461" s="29" t="s">
        <v>285</v>
      </c>
      <c r="I461" s="20" t="s">
        <v>286</v>
      </c>
      <c r="J461" s="64">
        <f>40*12*1740</f>
        <v>835200</v>
      </c>
      <c r="K461" s="75"/>
      <c r="M461" s="52"/>
    </row>
    <row r="462" spans="1:13" ht="23.25" customHeight="1" x14ac:dyDescent="0.15">
      <c r="A462" s="7"/>
      <c r="B462" s="7"/>
      <c r="C462" s="6"/>
      <c r="D462" s="88"/>
      <c r="E462" s="88"/>
      <c r="F462" s="88"/>
      <c r="G462" s="72"/>
      <c r="H462" s="30"/>
      <c r="I462" s="21" t="s">
        <v>287</v>
      </c>
      <c r="J462" s="65">
        <f>20*14*1740</f>
        <v>487200</v>
      </c>
      <c r="K462" s="72"/>
      <c r="M462" s="52"/>
    </row>
    <row r="463" spans="1:13" ht="23.25" customHeight="1" x14ac:dyDescent="0.15">
      <c r="A463" s="7"/>
      <c r="B463" s="7"/>
      <c r="C463" s="18" t="s">
        <v>145</v>
      </c>
      <c r="D463" s="105">
        <v>950000</v>
      </c>
      <c r="E463" s="105">
        <f>1205000+159580</f>
        <v>1364580</v>
      </c>
      <c r="F463" s="105">
        <f>SUM(J463:J464)</f>
        <v>500000</v>
      </c>
      <c r="G463" s="75">
        <f>F463-D463</f>
        <v>-450000</v>
      </c>
      <c r="H463" s="10" t="s">
        <v>289</v>
      </c>
      <c r="I463" s="20"/>
      <c r="J463" s="64">
        <v>250000</v>
      </c>
      <c r="K463" s="75"/>
      <c r="M463" s="52"/>
    </row>
    <row r="464" spans="1:13" ht="23.25" customHeight="1" x14ac:dyDescent="0.15">
      <c r="A464" s="7"/>
      <c r="B464" s="7"/>
      <c r="C464" s="6"/>
      <c r="D464" s="88"/>
      <c r="E464" s="88"/>
      <c r="F464" s="88"/>
      <c r="G464" s="72"/>
      <c r="H464" s="8" t="s">
        <v>290</v>
      </c>
      <c r="I464" s="21"/>
      <c r="J464" s="65">
        <v>250000</v>
      </c>
      <c r="K464" s="72"/>
      <c r="M464" s="52"/>
    </row>
    <row r="465" spans="1:13" ht="23.25" customHeight="1" x14ac:dyDescent="0.15">
      <c r="A465" s="7"/>
      <c r="B465" s="7"/>
      <c r="C465" s="54" t="s">
        <v>37</v>
      </c>
      <c r="D465" s="88">
        <v>5000000</v>
      </c>
      <c r="E465" s="88">
        <v>4865160</v>
      </c>
      <c r="F465" s="88">
        <f>SUM(J465)</f>
        <v>5000000</v>
      </c>
      <c r="G465" s="53">
        <f>F465-D465</f>
        <v>0</v>
      </c>
      <c r="H465" s="13" t="s">
        <v>38</v>
      </c>
      <c r="I465" s="19"/>
      <c r="J465" s="106">
        <v>5000000</v>
      </c>
      <c r="K465" s="53"/>
      <c r="M465" s="52"/>
    </row>
    <row r="466" spans="1:13" ht="23.25" customHeight="1" x14ac:dyDescent="0.15">
      <c r="A466" s="6"/>
      <c r="B466" s="6"/>
      <c r="C466" s="77" t="s">
        <v>67</v>
      </c>
      <c r="D466" s="88">
        <v>5000000</v>
      </c>
      <c r="E466" s="88">
        <v>8522343</v>
      </c>
      <c r="F466" s="88">
        <f>SUM(J466)</f>
        <v>5000000</v>
      </c>
      <c r="G466" s="53">
        <f>F466-D466</f>
        <v>0</v>
      </c>
      <c r="H466" s="30" t="s">
        <v>86</v>
      </c>
      <c r="I466" s="21"/>
      <c r="J466" s="65">
        <v>5000000</v>
      </c>
      <c r="K466" s="53"/>
      <c r="M466" s="52"/>
    </row>
    <row r="467" spans="1:13" ht="18.75" customHeight="1" x14ac:dyDescent="0.15">
      <c r="A467" s="18" t="s">
        <v>139</v>
      </c>
      <c r="B467" s="7" t="s">
        <v>153</v>
      </c>
      <c r="C467" s="6"/>
      <c r="D467" s="51">
        <v>0</v>
      </c>
      <c r="E467" s="51">
        <f>SUM(E468:E475)</f>
        <v>0</v>
      </c>
      <c r="F467" s="51">
        <f>SUM(F468:F475)</f>
        <v>46961500</v>
      </c>
      <c r="G467" s="74">
        <f>F467-D467</f>
        <v>46961500</v>
      </c>
      <c r="H467" s="13"/>
      <c r="I467" s="14"/>
      <c r="J467" s="58"/>
      <c r="K467" s="74"/>
      <c r="M467" s="52"/>
    </row>
    <row r="468" spans="1:13" ht="18.75" customHeight="1" x14ac:dyDescent="0.15">
      <c r="A468" s="7"/>
      <c r="B468" s="7" t="s">
        <v>140</v>
      </c>
      <c r="C468" s="12" t="s">
        <v>148</v>
      </c>
      <c r="D468" s="51">
        <v>0</v>
      </c>
      <c r="E468" s="51">
        <v>0</v>
      </c>
      <c r="F468" s="51">
        <f>SUM(J468)</f>
        <v>24700000</v>
      </c>
      <c r="G468" s="74">
        <f>F468-D468</f>
        <v>24700000</v>
      </c>
      <c r="H468" s="13" t="s">
        <v>349</v>
      </c>
      <c r="I468" s="9" t="s">
        <v>415</v>
      </c>
      <c r="J468" s="56">
        <f>1300000*19</f>
        <v>24700000</v>
      </c>
      <c r="K468" s="74"/>
      <c r="M468" s="52"/>
    </row>
    <row r="469" spans="1:13" ht="18.75" customHeight="1" x14ac:dyDescent="0.15">
      <c r="A469" s="7"/>
      <c r="B469" s="7" t="s">
        <v>351</v>
      </c>
      <c r="C469" s="7" t="s">
        <v>150</v>
      </c>
      <c r="D469" s="26">
        <v>0</v>
      </c>
      <c r="E469" s="26">
        <v>0</v>
      </c>
      <c r="F469" s="26">
        <f>SUM(J469:J472)</f>
        <v>18481500</v>
      </c>
      <c r="G469" s="75">
        <f>F469-D469</f>
        <v>18481500</v>
      </c>
      <c r="H469" s="10" t="s">
        <v>271</v>
      </c>
      <c r="I469" s="11" t="s">
        <v>416</v>
      </c>
      <c r="J469" s="57">
        <f>130*7*9*1350</f>
        <v>11056500</v>
      </c>
      <c r="K469" s="75"/>
      <c r="M469" s="52"/>
    </row>
    <row r="470" spans="1:13" ht="18.75" customHeight="1" x14ac:dyDescent="0.15">
      <c r="A470" s="7"/>
      <c r="B470" s="7"/>
      <c r="C470" s="7"/>
      <c r="D470" s="26"/>
      <c r="E470" s="26"/>
      <c r="F470" s="26"/>
      <c r="G470" s="75"/>
      <c r="H470" s="10" t="s">
        <v>332</v>
      </c>
      <c r="I470" s="11" t="s">
        <v>350</v>
      </c>
      <c r="J470" s="57">
        <f>100*12*9*1350</f>
        <v>14580000</v>
      </c>
      <c r="K470" s="75"/>
      <c r="M470" s="52"/>
    </row>
    <row r="471" spans="1:13" ht="18.75" customHeight="1" x14ac:dyDescent="0.15">
      <c r="A471" s="7"/>
      <c r="B471" s="7"/>
      <c r="C471" s="7"/>
      <c r="D471" s="26"/>
      <c r="E471" s="26"/>
      <c r="F471" s="26"/>
      <c r="G471" s="75"/>
      <c r="H471" s="29" t="s">
        <v>279</v>
      </c>
      <c r="I471" s="11" t="s">
        <v>417</v>
      </c>
      <c r="J471" s="57">
        <f>-100*9*8*1350</f>
        <v>-9720000</v>
      </c>
      <c r="K471" s="75"/>
      <c r="M471" s="52"/>
    </row>
    <row r="472" spans="1:13" ht="18.75" customHeight="1" x14ac:dyDescent="0.15">
      <c r="A472" s="7"/>
      <c r="B472" s="7"/>
      <c r="C472" s="6"/>
      <c r="D472" s="53"/>
      <c r="E472" s="53"/>
      <c r="F472" s="53"/>
      <c r="G472" s="72"/>
      <c r="H472" s="30" t="s">
        <v>119</v>
      </c>
      <c r="I472" s="9" t="s">
        <v>284</v>
      </c>
      <c r="J472" s="56">
        <f>10*19*10*1350</f>
        <v>2565000</v>
      </c>
      <c r="K472" s="72"/>
      <c r="M472" s="52"/>
    </row>
    <row r="473" spans="1:13" ht="18.75" customHeight="1" x14ac:dyDescent="0.15">
      <c r="A473" s="7"/>
      <c r="B473" s="7"/>
      <c r="C473" s="7" t="s">
        <v>145</v>
      </c>
      <c r="D473" s="26">
        <v>0</v>
      </c>
      <c r="E473" s="26">
        <v>0</v>
      </c>
      <c r="F473" s="26">
        <f>SUM(J473:J474)</f>
        <v>1780000</v>
      </c>
      <c r="G473" s="75">
        <f>F473-D473</f>
        <v>1780000</v>
      </c>
      <c r="H473" s="10" t="s">
        <v>256</v>
      </c>
      <c r="I473" s="11" t="s">
        <v>352</v>
      </c>
      <c r="J473" s="57">
        <f>85000*18</f>
        <v>1530000</v>
      </c>
      <c r="K473" s="75"/>
      <c r="M473" s="52"/>
    </row>
    <row r="474" spans="1:13" ht="18.75" customHeight="1" x14ac:dyDescent="0.15">
      <c r="A474" s="7"/>
      <c r="B474" s="7"/>
      <c r="C474" s="6"/>
      <c r="D474" s="53"/>
      <c r="E474" s="53"/>
      <c r="F474" s="53"/>
      <c r="G474" s="72"/>
      <c r="H474" s="8" t="s">
        <v>290</v>
      </c>
      <c r="I474" s="9"/>
      <c r="J474" s="56">
        <v>250000</v>
      </c>
      <c r="K474" s="72"/>
      <c r="M474" s="52"/>
    </row>
    <row r="475" spans="1:13" ht="18.75" customHeight="1" x14ac:dyDescent="0.15">
      <c r="A475" s="7"/>
      <c r="B475" s="6"/>
      <c r="C475" s="6" t="s">
        <v>85</v>
      </c>
      <c r="D475" s="51">
        <v>0</v>
      </c>
      <c r="E475" s="51">
        <v>0</v>
      </c>
      <c r="F475" s="51">
        <f>SUM(J475)</f>
        <v>2000000</v>
      </c>
      <c r="G475" s="74">
        <f>F475-D475</f>
        <v>2000000</v>
      </c>
      <c r="H475" s="8"/>
      <c r="I475" s="9"/>
      <c r="J475" s="56">
        <v>2000000</v>
      </c>
      <c r="K475" s="74"/>
      <c r="M475" s="52"/>
    </row>
    <row r="476" spans="1:13" ht="18.75" customHeight="1" x14ac:dyDescent="0.15">
      <c r="A476" s="7"/>
      <c r="B476" s="7" t="s">
        <v>291</v>
      </c>
      <c r="C476" s="54"/>
      <c r="D476" s="88">
        <v>59380000</v>
      </c>
      <c r="E476" s="88">
        <f>SUM(E477:E493)</f>
        <v>55832015</v>
      </c>
      <c r="F476" s="88">
        <f>SUM(F477:F493)</f>
        <v>71420480</v>
      </c>
      <c r="G476" s="72">
        <f>SUM(G477:G493)</f>
        <v>12040480</v>
      </c>
      <c r="H476" s="30"/>
      <c r="I476" s="21"/>
      <c r="J476" s="65"/>
      <c r="K476" s="72"/>
      <c r="M476" s="52"/>
    </row>
    <row r="477" spans="1:13" ht="18.75" customHeight="1" x14ac:dyDescent="0.15">
      <c r="A477" s="7"/>
      <c r="B477" s="7" t="s">
        <v>149</v>
      </c>
      <c r="C477" s="18" t="s">
        <v>148</v>
      </c>
      <c r="D477" s="26">
        <v>21600000</v>
      </c>
      <c r="E477" s="26">
        <v>13148300</v>
      </c>
      <c r="F477" s="105">
        <f>SUM(J477:J478)</f>
        <v>19256480</v>
      </c>
      <c r="G477" s="73">
        <f>F477-D477</f>
        <v>-2343520</v>
      </c>
      <c r="H477" s="28" t="s">
        <v>292</v>
      </c>
      <c r="I477" s="27" t="s">
        <v>293</v>
      </c>
      <c r="J477" s="103">
        <f>621280*16</f>
        <v>9940480</v>
      </c>
      <c r="K477" s="73"/>
      <c r="M477" s="52"/>
    </row>
    <row r="478" spans="1:13" ht="18.75" customHeight="1" x14ac:dyDescent="0.15">
      <c r="A478" s="7"/>
      <c r="B478" s="7" t="s">
        <v>258</v>
      </c>
      <c r="C478" s="6"/>
      <c r="D478" s="53"/>
      <c r="E478" s="53"/>
      <c r="F478" s="88"/>
      <c r="G478" s="72"/>
      <c r="H478" s="30" t="s">
        <v>294</v>
      </c>
      <c r="I478" s="21" t="s">
        <v>295</v>
      </c>
      <c r="J478" s="65">
        <f>582250*16</f>
        <v>9316000</v>
      </c>
      <c r="K478" s="72"/>
      <c r="M478" s="52"/>
    </row>
    <row r="479" spans="1:13" ht="18.75" customHeight="1" x14ac:dyDescent="0.15">
      <c r="A479" s="7"/>
      <c r="B479" s="7"/>
      <c r="C479" s="18" t="s">
        <v>150</v>
      </c>
      <c r="D479" s="69">
        <v>35280000</v>
      </c>
      <c r="E479" s="69">
        <v>36245010</v>
      </c>
      <c r="F479" s="105">
        <f>SUM(J479:J490)</f>
        <v>49164000</v>
      </c>
      <c r="G479" s="73">
        <f>F479-D479</f>
        <v>13884000</v>
      </c>
      <c r="H479" s="28" t="s">
        <v>296</v>
      </c>
      <c r="I479" s="27" t="s">
        <v>297</v>
      </c>
      <c r="J479" s="103">
        <f>150*4*6*1350</f>
        <v>4860000</v>
      </c>
      <c r="K479" s="73"/>
      <c r="M479" s="52"/>
    </row>
    <row r="480" spans="1:13" ht="18.75" customHeight="1" x14ac:dyDescent="0.15">
      <c r="A480" s="7"/>
      <c r="B480" s="7"/>
      <c r="C480" s="7"/>
      <c r="D480" s="26"/>
      <c r="E480" s="26"/>
      <c r="F480" s="102"/>
      <c r="G480" s="75"/>
      <c r="H480" s="29" t="s">
        <v>299</v>
      </c>
      <c r="I480" s="20" t="s">
        <v>298</v>
      </c>
      <c r="J480" s="64">
        <f>120*12*6*1350</f>
        <v>11664000</v>
      </c>
      <c r="K480" s="75"/>
      <c r="M480" s="52"/>
    </row>
    <row r="481" spans="1:13" ht="18.75" customHeight="1" x14ac:dyDescent="0.15">
      <c r="A481" s="7"/>
      <c r="B481" s="7"/>
      <c r="C481" s="7"/>
      <c r="D481" s="26"/>
      <c r="E481" s="26"/>
      <c r="F481" s="102"/>
      <c r="G481" s="75"/>
      <c r="H481" s="29" t="s">
        <v>300</v>
      </c>
      <c r="I481" s="20" t="s">
        <v>301</v>
      </c>
      <c r="J481" s="64">
        <f>180*4*5*1740</f>
        <v>6264000</v>
      </c>
      <c r="K481" s="75"/>
      <c r="M481" s="52"/>
    </row>
    <row r="482" spans="1:13" ht="18.75" customHeight="1" x14ac:dyDescent="0.15">
      <c r="A482" s="7"/>
      <c r="B482" s="7"/>
      <c r="C482" s="7"/>
      <c r="D482" s="26"/>
      <c r="E482" s="26"/>
      <c r="F482" s="102"/>
      <c r="G482" s="75"/>
      <c r="H482" s="29"/>
      <c r="I482" s="20" t="s">
        <v>302</v>
      </c>
      <c r="J482" s="64">
        <f>150*12*5*1740</f>
        <v>15660000</v>
      </c>
      <c r="K482" s="75"/>
      <c r="M482" s="52"/>
    </row>
    <row r="483" spans="1:13" ht="18.75" customHeight="1" x14ac:dyDescent="0.15">
      <c r="A483" s="7"/>
      <c r="B483" s="7"/>
      <c r="C483" s="7"/>
      <c r="D483" s="26"/>
      <c r="E483" s="26"/>
      <c r="F483" s="102"/>
      <c r="G483" s="75"/>
      <c r="H483" s="29" t="s">
        <v>303</v>
      </c>
      <c r="I483" s="20" t="s">
        <v>304</v>
      </c>
      <c r="J483" s="64">
        <f>10*16*7*1350</f>
        <v>1512000</v>
      </c>
      <c r="K483" s="75"/>
      <c r="M483" s="52"/>
    </row>
    <row r="484" spans="1:13" ht="18.75" customHeight="1" x14ac:dyDescent="0.15">
      <c r="A484" s="7"/>
      <c r="B484" s="7"/>
      <c r="C484" s="7"/>
      <c r="D484" s="102"/>
      <c r="E484" s="102"/>
      <c r="F484" s="102"/>
      <c r="G484" s="75"/>
      <c r="H484" s="29" t="s">
        <v>305</v>
      </c>
      <c r="I484" s="20" t="s">
        <v>306</v>
      </c>
      <c r="J484" s="64">
        <f>10*16*6*1350</f>
        <v>1296000</v>
      </c>
      <c r="K484" s="75"/>
      <c r="M484" s="52"/>
    </row>
    <row r="485" spans="1:13" ht="18.75" customHeight="1" x14ac:dyDescent="0.15">
      <c r="A485" s="7"/>
      <c r="B485" s="7"/>
      <c r="C485" s="7"/>
      <c r="D485" s="102"/>
      <c r="E485" s="102"/>
      <c r="F485" s="102"/>
      <c r="G485" s="75"/>
      <c r="H485" s="29" t="s">
        <v>307</v>
      </c>
      <c r="I485" s="20" t="s">
        <v>308</v>
      </c>
      <c r="J485" s="64">
        <f>20*12*2*1350</f>
        <v>648000</v>
      </c>
      <c r="K485" s="75"/>
      <c r="M485" s="52"/>
    </row>
    <row r="486" spans="1:13" ht="18.75" customHeight="1" x14ac:dyDescent="0.15">
      <c r="A486" s="7"/>
      <c r="B486" s="7"/>
      <c r="C486" s="7"/>
      <c r="D486" s="102"/>
      <c r="E486" s="102"/>
      <c r="F486" s="102"/>
      <c r="G486" s="75"/>
      <c r="H486" s="29" t="s">
        <v>305</v>
      </c>
      <c r="I486" s="20" t="s">
        <v>308</v>
      </c>
      <c r="J486" s="64">
        <f>20*12*2*1350</f>
        <v>648000</v>
      </c>
      <c r="K486" s="75"/>
      <c r="M486" s="52"/>
    </row>
    <row r="487" spans="1:13" ht="18.75" customHeight="1" x14ac:dyDescent="0.15">
      <c r="A487" s="7"/>
      <c r="B487" s="7"/>
      <c r="C487" s="7"/>
      <c r="D487" s="102"/>
      <c r="E487" s="102"/>
      <c r="F487" s="102"/>
      <c r="G487" s="75"/>
      <c r="H487" s="29" t="s">
        <v>309</v>
      </c>
      <c r="I487" s="20" t="s">
        <v>311</v>
      </c>
      <c r="J487" s="64">
        <f>100*4*1740</f>
        <v>696000</v>
      </c>
      <c r="K487" s="75"/>
      <c r="M487" s="52"/>
    </row>
    <row r="488" spans="1:13" ht="18.75" customHeight="1" x14ac:dyDescent="0.15">
      <c r="A488" s="7"/>
      <c r="B488" s="7"/>
      <c r="C488" s="7"/>
      <c r="D488" s="102"/>
      <c r="E488" s="102"/>
      <c r="F488" s="102"/>
      <c r="G488" s="75"/>
      <c r="H488" s="2"/>
      <c r="I488" s="20" t="s">
        <v>310</v>
      </c>
      <c r="J488" s="64">
        <f>125*12*1740</f>
        <v>2610000</v>
      </c>
      <c r="K488" s="75"/>
      <c r="M488" s="52"/>
    </row>
    <row r="489" spans="1:13" ht="18.75" customHeight="1" x14ac:dyDescent="0.15">
      <c r="A489" s="7"/>
      <c r="B489" s="7"/>
      <c r="C489" s="7"/>
      <c r="D489" s="102"/>
      <c r="E489" s="102"/>
      <c r="F489" s="102"/>
      <c r="G489" s="75"/>
      <c r="H489" s="29" t="s">
        <v>305</v>
      </c>
      <c r="I489" s="20" t="s">
        <v>311</v>
      </c>
      <c r="J489" s="64">
        <f>100*4*1740</f>
        <v>696000</v>
      </c>
      <c r="K489" s="75"/>
      <c r="M489" s="52"/>
    </row>
    <row r="490" spans="1:13" ht="18.75" customHeight="1" x14ac:dyDescent="0.15">
      <c r="A490" s="7"/>
      <c r="B490" s="7"/>
      <c r="C490" s="6"/>
      <c r="D490" s="88"/>
      <c r="E490" s="88"/>
      <c r="F490" s="88"/>
      <c r="G490" s="72"/>
      <c r="H490" s="29"/>
      <c r="I490" s="20" t="s">
        <v>310</v>
      </c>
      <c r="J490" s="65">
        <f>125*12*1740</f>
        <v>2610000</v>
      </c>
      <c r="K490" s="72"/>
      <c r="M490" s="52"/>
    </row>
    <row r="491" spans="1:13" ht="18.75" customHeight="1" x14ac:dyDescent="0.15">
      <c r="A491" s="7"/>
      <c r="B491" s="7"/>
      <c r="C491" s="18" t="s">
        <v>145</v>
      </c>
      <c r="D491" s="26">
        <v>500000</v>
      </c>
      <c r="E491" s="26">
        <v>335000</v>
      </c>
      <c r="F491" s="105">
        <f>SUM(J491:J492)</f>
        <v>1000000</v>
      </c>
      <c r="G491" s="73">
        <f>F491-D491</f>
        <v>500000</v>
      </c>
      <c r="H491" s="28" t="s">
        <v>312</v>
      </c>
      <c r="I491" s="27" t="s">
        <v>313</v>
      </c>
      <c r="J491" s="103">
        <f>250000*2</f>
        <v>500000</v>
      </c>
      <c r="K491" s="73"/>
      <c r="M491" s="52"/>
    </row>
    <row r="492" spans="1:13" ht="18.75" customHeight="1" x14ac:dyDescent="0.15">
      <c r="A492" s="7"/>
      <c r="B492" s="7"/>
      <c r="C492" s="6"/>
      <c r="D492" s="53"/>
      <c r="E492" s="53"/>
      <c r="F492" s="88"/>
      <c r="G492" s="72"/>
      <c r="H492" s="30" t="s">
        <v>290</v>
      </c>
      <c r="I492" s="21" t="s">
        <v>313</v>
      </c>
      <c r="J492" s="65">
        <f>250000*2</f>
        <v>500000</v>
      </c>
      <c r="K492" s="72"/>
      <c r="M492" s="52"/>
    </row>
    <row r="493" spans="1:13" ht="18.75" customHeight="1" x14ac:dyDescent="0.15">
      <c r="A493" s="6"/>
      <c r="B493" s="6"/>
      <c r="C493" s="12" t="s">
        <v>85</v>
      </c>
      <c r="D493" s="51">
        <v>2000000</v>
      </c>
      <c r="E493" s="51">
        <v>6103705</v>
      </c>
      <c r="F493" s="93">
        <f>SUM(J493)</f>
        <v>2000000</v>
      </c>
      <c r="G493" s="74">
        <f>F493-D493</f>
        <v>0</v>
      </c>
      <c r="H493" s="107" t="s">
        <v>86</v>
      </c>
      <c r="I493" s="19" t="s">
        <v>314</v>
      </c>
      <c r="J493" s="106">
        <v>2000000</v>
      </c>
      <c r="K493" s="74"/>
      <c r="M493" s="52"/>
    </row>
    <row r="494" spans="1:13" ht="20.25" customHeight="1" x14ac:dyDescent="0.15">
      <c r="A494" s="18" t="s">
        <v>139</v>
      </c>
      <c r="B494" s="7" t="s">
        <v>315</v>
      </c>
      <c r="C494" s="101"/>
      <c r="D494" s="88">
        <v>76420000</v>
      </c>
      <c r="E494" s="88">
        <f>SUM(E495:E509)</f>
        <v>46884850</v>
      </c>
      <c r="F494" s="88">
        <f>SUM(F495:F509)</f>
        <v>113366400</v>
      </c>
      <c r="G494" s="72">
        <f>SUM(G495:G509)</f>
        <v>36946400</v>
      </c>
      <c r="H494" s="29"/>
      <c r="I494" s="20"/>
      <c r="J494" s="64"/>
      <c r="K494" s="72"/>
      <c r="M494" s="52"/>
    </row>
    <row r="495" spans="1:13" ht="20.25" customHeight="1" x14ac:dyDescent="0.15">
      <c r="A495" s="7"/>
      <c r="B495" s="7" t="s">
        <v>149</v>
      </c>
      <c r="C495" s="18" t="s">
        <v>148</v>
      </c>
      <c r="D495" s="105">
        <v>35640000</v>
      </c>
      <c r="E495" s="105">
        <v>14556000</v>
      </c>
      <c r="F495" s="105">
        <f>SUM(J495)</f>
        <v>40000000</v>
      </c>
      <c r="G495" s="73">
        <f>F495-D495</f>
        <v>4360000</v>
      </c>
      <c r="H495" s="28" t="s">
        <v>142</v>
      </c>
      <c r="I495" s="27" t="s">
        <v>316</v>
      </c>
      <c r="J495" s="103">
        <f>2500000*16</f>
        <v>40000000</v>
      </c>
      <c r="K495" s="73"/>
      <c r="M495" s="52"/>
    </row>
    <row r="496" spans="1:13" ht="20.25" customHeight="1" x14ac:dyDescent="0.15">
      <c r="A496" s="7"/>
      <c r="B496" s="7" t="s">
        <v>258</v>
      </c>
      <c r="C496" s="18" t="s">
        <v>150</v>
      </c>
      <c r="D496" s="105">
        <v>35280000</v>
      </c>
      <c r="E496" s="105">
        <v>29765130</v>
      </c>
      <c r="F496" s="105">
        <f>SUM(J496:J506)</f>
        <v>68366400</v>
      </c>
      <c r="G496" s="73">
        <f>F496-D496</f>
        <v>33086400</v>
      </c>
      <c r="H496" s="28" t="s">
        <v>322</v>
      </c>
      <c r="I496" s="27" t="s">
        <v>318</v>
      </c>
      <c r="J496" s="103">
        <f>175*4*7*1740</f>
        <v>8526000</v>
      </c>
      <c r="K496" s="73"/>
      <c r="M496" s="52"/>
    </row>
    <row r="497" spans="1:13" ht="20.25" customHeight="1" x14ac:dyDescent="0.15">
      <c r="A497" s="7"/>
      <c r="B497" s="7"/>
      <c r="C497" s="7"/>
      <c r="D497" s="102"/>
      <c r="E497" s="102"/>
      <c r="F497" s="102"/>
      <c r="G497" s="75"/>
      <c r="H497" s="29" t="s">
        <v>321</v>
      </c>
      <c r="I497" s="20" t="s">
        <v>317</v>
      </c>
      <c r="J497" s="64">
        <f>150*12*7*1740</f>
        <v>21924000</v>
      </c>
      <c r="K497" s="75"/>
      <c r="M497" s="52"/>
    </row>
    <row r="498" spans="1:13" ht="20.25" customHeight="1" x14ac:dyDescent="0.15">
      <c r="A498" s="7"/>
      <c r="B498" s="7"/>
      <c r="C498" s="7"/>
      <c r="D498" s="102"/>
      <c r="E498" s="102"/>
      <c r="F498" s="102"/>
      <c r="G498" s="75"/>
      <c r="H498" s="29" t="s">
        <v>323</v>
      </c>
      <c r="I498" s="20" t="s">
        <v>319</v>
      </c>
      <c r="J498" s="64">
        <f>155*4*1740*7</f>
        <v>7551600</v>
      </c>
      <c r="K498" s="75"/>
      <c r="M498" s="52"/>
    </row>
    <row r="499" spans="1:13" ht="20.25" customHeight="1" x14ac:dyDescent="0.15">
      <c r="A499" s="7"/>
      <c r="B499" s="7"/>
      <c r="C499" s="7"/>
      <c r="D499" s="102"/>
      <c r="E499" s="102"/>
      <c r="F499" s="102"/>
      <c r="G499" s="75"/>
      <c r="H499" s="29" t="s">
        <v>321</v>
      </c>
      <c r="I499" s="20" t="s">
        <v>320</v>
      </c>
      <c r="J499" s="64">
        <f>130*12*7*1740</f>
        <v>19000800</v>
      </c>
      <c r="K499" s="75"/>
      <c r="M499" s="52"/>
    </row>
    <row r="500" spans="1:13" ht="20.25" customHeight="1" x14ac:dyDescent="0.15">
      <c r="A500" s="7"/>
      <c r="B500" s="7"/>
      <c r="C500" s="7"/>
      <c r="D500" s="102"/>
      <c r="E500" s="102"/>
      <c r="F500" s="102"/>
      <c r="G500" s="75"/>
      <c r="H500" s="29" t="s">
        <v>327</v>
      </c>
      <c r="I500" s="20" t="s">
        <v>324</v>
      </c>
      <c r="J500" s="64">
        <f>10*16*16*1350</f>
        <v>3456000</v>
      </c>
      <c r="K500" s="75"/>
      <c r="M500" s="52"/>
    </row>
    <row r="501" spans="1:13" ht="20.25" customHeight="1" x14ac:dyDescent="0.15">
      <c r="A501" s="7"/>
      <c r="B501" s="7"/>
      <c r="C501" s="7"/>
      <c r="D501" s="102"/>
      <c r="E501" s="102"/>
      <c r="F501" s="102"/>
      <c r="G501" s="75"/>
      <c r="H501" s="29" t="s">
        <v>307</v>
      </c>
      <c r="I501" s="20" t="s">
        <v>308</v>
      </c>
      <c r="J501" s="64">
        <f>20*12*2*1350</f>
        <v>648000</v>
      </c>
      <c r="K501" s="75"/>
      <c r="M501" s="52"/>
    </row>
    <row r="502" spans="1:13" ht="20.25" customHeight="1" x14ac:dyDescent="0.15">
      <c r="A502" s="7"/>
      <c r="B502" s="7"/>
      <c r="C502" s="7"/>
      <c r="D502" s="102"/>
      <c r="E502" s="102"/>
      <c r="F502" s="102"/>
      <c r="G502" s="75"/>
      <c r="H502" s="29" t="s">
        <v>305</v>
      </c>
      <c r="I502" s="20" t="s">
        <v>308</v>
      </c>
      <c r="J502" s="64">
        <f>20*12*2*1350</f>
        <v>648000</v>
      </c>
      <c r="K502" s="75"/>
      <c r="M502" s="52"/>
    </row>
    <row r="503" spans="1:13" ht="20.25" customHeight="1" x14ac:dyDescent="0.15">
      <c r="A503" s="7"/>
      <c r="B503" s="7"/>
      <c r="C503" s="7"/>
      <c r="D503" s="102"/>
      <c r="E503" s="102"/>
      <c r="F503" s="102"/>
      <c r="G503" s="75"/>
      <c r="H503" s="29" t="s">
        <v>325</v>
      </c>
      <c r="I503" s="20" t="s">
        <v>311</v>
      </c>
      <c r="J503" s="64">
        <f>100*4*1740</f>
        <v>696000</v>
      </c>
      <c r="K503" s="75"/>
      <c r="M503" s="52"/>
    </row>
    <row r="504" spans="1:13" ht="20.25" customHeight="1" x14ac:dyDescent="0.15">
      <c r="A504" s="7"/>
      <c r="B504" s="7"/>
      <c r="C504" s="7"/>
      <c r="D504" s="102"/>
      <c r="E504" s="102"/>
      <c r="F504" s="102"/>
      <c r="G504" s="75"/>
      <c r="H504" s="2"/>
      <c r="I504" s="20" t="s">
        <v>310</v>
      </c>
      <c r="J504" s="64">
        <f>125*12*1740</f>
        <v>2610000</v>
      </c>
      <c r="K504" s="75"/>
      <c r="M504" s="52"/>
    </row>
    <row r="505" spans="1:13" ht="20.25" customHeight="1" x14ac:dyDescent="0.15">
      <c r="A505" s="7"/>
      <c r="B505" s="7"/>
      <c r="C505" s="7"/>
      <c r="D505" s="102"/>
      <c r="E505" s="102"/>
      <c r="F505" s="102"/>
      <c r="G505" s="75"/>
      <c r="H505" s="29" t="s">
        <v>326</v>
      </c>
      <c r="I505" s="20" t="s">
        <v>311</v>
      </c>
      <c r="J505" s="64">
        <f>100*4*1740</f>
        <v>696000</v>
      </c>
      <c r="K505" s="75"/>
      <c r="M505" s="52"/>
    </row>
    <row r="506" spans="1:13" ht="20.25" customHeight="1" x14ac:dyDescent="0.15">
      <c r="A506" s="7"/>
      <c r="B506" s="7"/>
      <c r="C506" s="6"/>
      <c r="D506" s="88"/>
      <c r="E506" s="88"/>
      <c r="F506" s="88"/>
      <c r="G506" s="72"/>
      <c r="H506" s="30"/>
      <c r="I506" s="21" t="s">
        <v>310</v>
      </c>
      <c r="J506" s="65">
        <f>125*12*1740</f>
        <v>2610000</v>
      </c>
      <c r="K506" s="72"/>
      <c r="M506" s="52"/>
    </row>
    <row r="507" spans="1:13" ht="20.25" customHeight="1" x14ac:dyDescent="0.15">
      <c r="A507" s="7"/>
      <c r="B507" s="7"/>
      <c r="C507" s="18" t="s">
        <v>145</v>
      </c>
      <c r="D507" s="105">
        <v>500000</v>
      </c>
      <c r="E507" s="105">
        <v>553500</v>
      </c>
      <c r="F507" s="105">
        <f>SUM(J507:J508)</f>
        <v>1000000</v>
      </c>
      <c r="G507" s="73">
        <f>F507-D507</f>
        <v>500000</v>
      </c>
      <c r="H507" s="28" t="s">
        <v>146</v>
      </c>
      <c r="I507" s="27" t="s">
        <v>313</v>
      </c>
      <c r="J507" s="103">
        <f>250000*2</f>
        <v>500000</v>
      </c>
      <c r="K507" s="73"/>
      <c r="M507" s="52"/>
    </row>
    <row r="508" spans="1:13" ht="20.25" customHeight="1" x14ac:dyDescent="0.15">
      <c r="A508" s="7"/>
      <c r="B508" s="7"/>
      <c r="C508" s="6"/>
      <c r="D508" s="88"/>
      <c r="E508" s="88"/>
      <c r="F508" s="88"/>
      <c r="G508" s="72"/>
      <c r="H508" s="30" t="s">
        <v>290</v>
      </c>
      <c r="I508" s="21" t="s">
        <v>313</v>
      </c>
      <c r="J508" s="65">
        <f>250000*2</f>
        <v>500000</v>
      </c>
      <c r="K508" s="72"/>
      <c r="M508" s="52"/>
    </row>
    <row r="509" spans="1:13" ht="20.25" customHeight="1" x14ac:dyDescent="0.15">
      <c r="A509" s="7"/>
      <c r="B509" s="6"/>
      <c r="C509" s="12" t="s">
        <v>85</v>
      </c>
      <c r="D509" s="93">
        <v>5000000</v>
      </c>
      <c r="E509" s="93">
        <v>2010220</v>
      </c>
      <c r="F509" s="93">
        <f>SUM(J509)</f>
        <v>4000000</v>
      </c>
      <c r="G509" s="74">
        <f t="shared" ref="G509:G518" si="19">F509-D509</f>
        <v>-1000000</v>
      </c>
      <c r="H509" s="107" t="s">
        <v>86</v>
      </c>
      <c r="I509" s="19" t="s">
        <v>328</v>
      </c>
      <c r="J509" s="106">
        <f>2000000*2</f>
        <v>4000000</v>
      </c>
      <c r="K509" s="74"/>
      <c r="M509" s="52"/>
    </row>
    <row r="510" spans="1:13" ht="20.25" customHeight="1" x14ac:dyDescent="0.15">
      <c r="A510" s="7"/>
      <c r="B510" s="7" t="s">
        <v>786</v>
      </c>
      <c r="C510" s="12"/>
      <c r="D510" s="93">
        <v>0</v>
      </c>
      <c r="E510" s="93">
        <f>SUM(E511:E513)</f>
        <v>22843234</v>
      </c>
      <c r="F510" s="93">
        <f>SUM(F511:F513)</f>
        <v>0</v>
      </c>
      <c r="G510" s="51">
        <f t="shared" si="19"/>
        <v>0</v>
      </c>
      <c r="H510" s="107"/>
      <c r="I510" s="19"/>
      <c r="J510" s="106"/>
      <c r="K510" s="74"/>
      <c r="M510" s="52"/>
    </row>
    <row r="511" spans="1:13" ht="20.25" customHeight="1" x14ac:dyDescent="0.15">
      <c r="A511" s="7"/>
      <c r="B511" s="7" t="s">
        <v>787</v>
      </c>
      <c r="C511" s="12" t="s">
        <v>148</v>
      </c>
      <c r="D511" s="93">
        <v>0</v>
      </c>
      <c r="E511" s="93">
        <v>6511200</v>
      </c>
      <c r="F511" s="93">
        <v>0</v>
      </c>
      <c r="G511" s="51">
        <f t="shared" si="19"/>
        <v>0</v>
      </c>
      <c r="H511" s="107"/>
      <c r="I511" s="19"/>
      <c r="J511" s="106"/>
      <c r="K511" s="74"/>
      <c r="M511" s="52"/>
    </row>
    <row r="512" spans="1:13" ht="20.25" customHeight="1" x14ac:dyDescent="0.15">
      <c r="A512" s="7"/>
      <c r="B512" s="7"/>
      <c r="C512" s="12" t="s">
        <v>150</v>
      </c>
      <c r="D512" s="93">
        <v>0</v>
      </c>
      <c r="E512" s="93">
        <v>13394850</v>
      </c>
      <c r="F512" s="93">
        <v>0</v>
      </c>
      <c r="G512" s="51">
        <f t="shared" si="19"/>
        <v>0</v>
      </c>
      <c r="H512" s="107"/>
      <c r="I512" s="19"/>
      <c r="J512" s="106"/>
      <c r="K512" s="74"/>
      <c r="M512" s="52"/>
    </row>
    <row r="513" spans="1:13" ht="20.25" customHeight="1" x14ac:dyDescent="0.15">
      <c r="A513" s="7"/>
      <c r="B513" s="6"/>
      <c r="C513" s="6" t="s">
        <v>85</v>
      </c>
      <c r="D513" s="93">
        <v>0</v>
      </c>
      <c r="E513" s="93">
        <v>2937184</v>
      </c>
      <c r="F513" s="93">
        <v>0</v>
      </c>
      <c r="G513" s="51">
        <f t="shared" si="19"/>
        <v>0</v>
      </c>
      <c r="H513" s="107"/>
      <c r="I513" s="19"/>
      <c r="J513" s="106"/>
      <c r="K513" s="74"/>
      <c r="M513" s="52"/>
    </row>
    <row r="514" spans="1:13" ht="20.25" customHeight="1" x14ac:dyDescent="0.15">
      <c r="A514" s="7"/>
      <c r="B514" s="7" t="s">
        <v>788</v>
      </c>
      <c r="C514" s="6"/>
      <c r="D514" s="93">
        <f>SUM(D515:D518)</f>
        <v>0</v>
      </c>
      <c r="E514" s="93">
        <f>SUM(E515:E518)</f>
        <v>38861080</v>
      </c>
      <c r="F514" s="93">
        <f>SUM(F515:F518)</f>
        <v>0</v>
      </c>
      <c r="G514" s="51">
        <f t="shared" si="19"/>
        <v>0</v>
      </c>
      <c r="H514" s="107"/>
      <c r="I514" s="19"/>
      <c r="J514" s="106"/>
      <c r="K514" s="74"/>
      <c r="M514" s="52"/>
    </row>
    <row r="515" spans="1:13" ht="20.25" customHeight="1" x14ac:dyDescent="0.15">
      <c r="A515" s="7"/>
      <c r="B515" s="7" t="s">
        <v>149</v>
      </c>
      <c r="C515" s="6" t="s">
        <v>148</v>
      </c>
      <c r="D515" s="93">
        <v>0</v>
      </c>
      <c r="E515" s="93">
        <v>22000900</v>
      </c>
      <c r="F515" s="93">
        <v>0</v>
      </c>
      <c r="G515" s="51">
        <f t="shared" si="19"/>
        <v>0</v>
      </c>
      <c r="H515" s="107"/>
      <c r="I515" s="19"/>
      <c r="J515" s="106"/>
      <c r="K515" s="74"/>
      <c r="M515" s="52"/>
    </row>
    <row r="516" spans="1:13" ht="20.25" customHeight="1" x14ac:dyDescent="0.15">
      <c r="A516" s="7"/>
      <c r="B516" s="7" t="s">
        <v>789</v>
      </c>
      <c r="C516" s="6" t="s">
        <v>150</v>
      </c>
      <c r="D516" s="93">
        <v>0</v>
      </c>
      <c r="E516" s="93">
        <v>14680830</v>
      </c>
      <c r="F516" s="93">
        <v>0</v>
      </c>
      <c r="G516" s="51">
        <f t="shared" si="19"/>
        <v>0</v>
      </c>
      <c r="H516" s="107"/>
      <c r="I516" s="19"/>
      <c r="J516" s="106"/>
      <c r="K516" s="74"/>
      <c r="M516" s="52"/>
    </row>
    <row r="517" spans="1:13" ht="20.25" customHeight="1" x14ac:dyDescent="0.15">
      <c r="A517" s="7"/>
      <c r="B517" s="7"/>
      <c r="C517" s="6" t="s">
        <v>145</v>
      </c>
      <c r="D517" s="93">
        <v>0</v>
      </c>
      <c r="E517" s="93">
        <v>180000</v>
      </c>
      <c r="F517" s="93">
        <v>0</v>
      </c>
      <c r="G517" s="51">
        <f t="shared" si="19"/>
        <v>0</v>
      </c>
      <c r="H517" s="107"/>
      <c r="I517" s="19"/>
      <c r="J517" s="106"/>
      <c r="K517" s="74"/>
      <c r="M517" s="52"/>
    </row>
    <row r="518" spans="1:13" ht="20.25" customHeight="1" x14ac:dyDescent="0.15">
      <c r="A518" s="6"/>
      <c r="B518" s="6"/>
      <c r="C518" s="6" t="s">
        <v>85</v>
      </c>
      <c r="D518" s="93">
        <v>0</v>
      </c>
      <c r="E518" s="93">
        <v>1999350</v>
      </c>
      <c r="F518" s="93">
        <v>0</v>
      </c>
      <c r="G518" s="51">
        <f t="shared" si="19"/>
        <v>0</v>
      </c>
      <c r="H518" s="107"/>
      <c r="I518" s="19"/>
      <c r="J518" s="106"/>
      <c r="K518" s="74"/>
      <c r="M518" s="52"/>
    </row>
    <row r="519" spans="1:13" ht="19.5" customHeight="1" x14ac:dyDescent="0.15">
      <c r="A519" s="18" t="s">
        <v>139</v>
      </c>
      <c r="B519" s="7" t="s">
        <v>379</v>
      </c>
      <c r="C519" s="6"/>
      <c r="D519" s="51">
        <f>SUM(D520:D526)</f>
        <v>0</v>
      </c>
      <c r="E519" s="51"/>
      <c r="F519" s="51">
        <f>SUM(F520:F526)</f>
        <v>35677300</v>
      </c>
      <c r="G519" s="74">
        <f>SUM(G520:G526)</f>
        <v>35677300</v>
      </c>
      <c r="H519" s="107"/>
      <c r="I519" s="19"/>
      <c r="J519" s="106"/>
      <c r="K519" s="74"/>
      <c r="M519" s="52"/>
    </row>
    <row r="520" spans="1:13" ht="19.5" customHeight="1" x14ac:dyDescent="0.15">
      <c r="A520" s="7"/>
      <c r="B520" s="7" t="s">
        <v>380</v>
      </c>
      <c r="C520" s="12" t="s">
        <v>148</v>
      </c>
      <c r="D520" s="93">
        <v>0</v>
      </c>
      <c r="E520" s="93"/>
      <c r="F520" s="93">
        <f>SUM(J520)</f>
        <v>22000000</v>
      </c>
      <c r="G520" s="74">
        <f>F520-D520</f>
        <v>22000000</v>
      </c>
      <c r="H520" s="107" t="s">
        <v>142</v>
      </c>
      <c r="I520" s="19" t="s">
        <v>381</v>
      </c>
      <c r="J520" s="106">
        <f>2000000*11</f>
        <v>22000000</v>
      </c>
      <c r="K520" s="74"/>
      <c r="M520" s="52"/>
    </row>
    <row r="521" spans="1:13" ht="19.5" customHeight="1" x14ac:dyDescent="0.15">
      <c r="A521" s="7"/>
      <c r="B521" s="7"/>
      <c r="C521" s="7" t="s">
        <v>150</v>
      </c>
      <c r="D521" s="102">
        <v>0</v>
      </c>
      <c r="E521" s="102"/>
      <c r="F521" s="102">
        <f>SUM(J521:J524)</f>
        <v>11427300</v>
      </c>
      <c r="G521" s="75">
        <f>F521-D521</f>
        <v>11427300</v>
      </c>
      <c r="H521" s="29" t="s">
        <v>353</v>
      </c>
      <c r="I521" s="20" t="s">
        <v>382</v>
      </c>
      <c r="J521" s="64">
        <f>145*3*6*1740</f>
        <v>4541400</v>
      </c>
      <c r="K521" s="75"/>
      <c r="M521" s="52"/>
    </row>
    <row r="522" spans="1:13" ht="19.5" customHeight="1" x14ac:dyDescent="0.15">
      <c r="A522" s="7"/>
      <c r="B522" s="7"/>
      <c r="C522" s="7"/>
      <c r="D522" s="102"/>
      <c r="E522" s="102"/>
      <c r="F522" s="102"/>
      <c r="G522" s="75"/>
      <c r="H522" s="29" t="s">
        <v>354</v>
      </c>
      <c r="I522" s="20" t="s">
        <v>383</v>
      </c>
      <c r="J522" s="64">
        <f>120*8*6*1740</f>
        <v>10022400</v>
      </c>
      <c r="K522" s="75"/>
      <c r="M522" s="52"/>
    </row>
    <row r="523" spans="1:13" ht="19.5" customHeight="1" x14ac:dyDescent="0.15">
      <c r="A523" s="7"/>
      <c r="B523" s="7"/>
      <c r="C523" s="7"/>
      <c r="D523" s="102"/>
      <c r="E523" s="102"/>
      <c r="F523" s="102"/>
      <c r="G523" s="75"/>
      <c r="H523" s="29" t="s">
        <v>356</v>
      </c>
      <c r="I523" s="20" t="s">
        <v>384</v>
      </c>
      <c r="J523" s="64">
        <f>-1740*120*4*5</f>
        <v>-4176000</v>
      </c>
      <c r="K523" s="75"/>
      <c r="M523" s="52"/>
    </row>
    <row r="524" spans="1:13" ht="19.5" customHeight="1" x14ac:dyDescent="0.15">
      <c r="A524" s="7"/>
      <c r="B524" s="7"/>
      <c r="C524" s="6"/>
      <c r="D524" s="88"/>
      <c r="E524" s="88"/>
      <c r="F524" s="88"/>
      <c r="G524" s="72"/>
      <c r="H524" s="30" t="s">
        <v>119</v>
      </c>
      <c r="I524" s="21" t="s">
        <v>385</v>
      </c>
      <c r="J524" s="65">
        <f>10*11*7*1350</f>
        <v>1039500</v>
      </c>
      <c r="K524" s="72"/>
      <c r="M524" s="52"/>
    </row>
    <row r="525" spans="1:13" ht="19.5" customHeight="1" x14ac:dyDescent="0.15">
      <c r="A525" s="7"/>
      <c r="B525" s="7"/>
      <c r="C525" s="12" t="s">
        <v>145</v>
      </c>
      <c r="D525" s="93">
        <v>0</v>
      </c>
      <c r="E525" s="93"/>
      <c r="F525" s="93">
        <f>SUM(J525)</f>
        <v>250000</v>
      </c>
      <c r="G525" s="74">
        <f>F525-D525</f>
        <v>250000</v>
      </c>
      <c r="H525" s="107" t="s">
        <v>290</v>
      </c>
      <c r="I525" s="19"/>
      <c r="J525" s="106">
        <v>250000</v>
      </c>
      <c r="K525" s="74"/>
      <c r="M525" s="52"/>
    </row>
    <row r="526" spans="1:13" ht="19.5" customHeight="1" x14ac:dyDescent="0.15">
      <c r="A526" s="7"/>
      <c r="B526" s="6"/>
      <c r="C526" s="12" t="s">
        <v>85</v>
      </c>
      <c r="D526" s="93">
        <v>0</v>
      </c>
      <c r="E526" s="93"/>
      <c r="F526" s="93">
        <f>SUM(J526)</f>
        <v>2000000</v>
      </c>
      <c r="G526" s="74">
        <f>F526-D526</f>
        <v>2000000</v>
      </c>
      <c r="H526" s="107" t="s">
        <v>86</v>
      </c>
      <c r="I526" s="19"/>
      <c r="J526" s="106">
        <v>2000000</v>
      </c>
      <c r="K526" s="74"/>
      <c r="M526" s="52"/>
    </row>
    <row r="527" spans="1:13" ht="19.5" customHeight="1" x14ac:dyDescent="0.15">
      <c r="A527" s="7"/>
      <c r="B527" s="7" t="s">
        <v>147</v>
      </c>
      <c r="C527" s="54"/>
      <c r="D527" s="88">
        <v>6970000</v>
      </c>
      <c r="E527" s="88">
        <f>SUM(E528:E535)</f>
        <v>9122789</v>
      </c>
      <c r="F527" s="88">
        <f>SUM(F528:F535)</f>
        <v>5240180</v>
      </c>
      <c r="G527" s="72">
        <f>F527-D527</f>
        <v>-1729820</v>
      </c>
      <c r="H527" s="30"/>
      <c r="I527" s="21"/>
      <c r="J527" s="65"/>
      <c r="K527" s="72"/>
      <c r="M527" s="52"/>
    </row>
    <row r="528" spans="1:13" ht="19.5" customHeight="1" x14ac:dyDescent="0.15">
      <c r="A528" s="7"/>
      <c r="B528" s="7" t="s">
        <v>258</v>
      </c>
      <c r="C528" s="54" t="s">
        <v>148</v>
      </c>
      <c r="D528" s="88">
        <v>4550000</v>
      </c>
      <c r="E528" s="88">
        <v>5085500</v>
      </c>
      <c r="F528" s="88">
        <f>SUM(J528)</f>
        <v>3727680</v>
      </c>
      <c r="G528" s="72">
        <f>F528-D528</f>
        <v>-822320</v>
      </c>
      <c r="H528" s="30" t="s">
        <v>249</v>
      </c>
      <c r="I528" s="21" t="s">
        <v>362</v>
      </c>
      <c r="J528" s="65">
        <f>621280*6</f>
        <v>3727680</v>
      </c>
      <c r="K528" s="72"/>
      <c r="M528" s="52"/>
    </row>
    <row r="529" spans="1:13" ht="19.5" customHeight="1" x14ac:dyDescent="0.15">
      <c r="A529" s="7"/>
      <c r="B529" s="7"/>
      <c r="C529" s="101" t="s">
        <v>251</v>
      </c>
      <c r="D529" s="102">
        <v>1920000</v>
      </c>
      <c r="E529" s="102">
        <v>1526089</v>
      </c>
      <c r="F529" s="102">
        <f>SUM(J529:J533)</f>
        <v>1012500</v>
      </c>
      <c r="G529" s="75">
        <f>F529-D529</f>
        <v>-907500</v>
      </c>
      <c r="H529" s="29" t="s">
        <v>353</v>
      </c>
      <c r="I529" s="20" t="s">
        <v>363</v>
      </c>
      <c r="J529" s="64">
        <f>170*2*3*1350</f>
        <v>1377000</v>
      </c>
      <c r="K529" s="75"/>
      <c r="M529" s="52"/>
    </row>
    <row r="530" spans="1:13" ht="19.5" customHeight="1" x14ac:dyDescent="0.15">
      <c r="A530" s="7"/>
      <c r="B530" s="7"/>
      <c r="C530" s="7"/>
      <c r="D530" s="102"/>
      <c r="E530" s="102"/>
      <c r="F530" s="102"/>
      <c r="G530" s="75"/>
      <c r="H530" s="29" t="s">
        <v>354</v>
      </c>
      <c r="I530" s="20" t="s">
        <v>364</v>
      </c>
      <c r="J530" s="64">
        <f>150*4*3*1350</f>
        <v>2430000</v>
      </c>
      <c r="K530" s="75"/>
      <c r="M530" s="52"/>
    </row>
    <row r="531" spans="1:13" ht="19.5" customHeight="1" x14ac:dyDescent="0.15">
      <c r="A531" s="7"/>
      <c r="B531" s="7"/>
      <c r="C531" s="7"/>
      <c r="D531" s="102"/>
      <c r="E531" s="102"/>
      <c r="F531" s="102"/>
      <c r="G531" s="75"/>
      <c r="H531" s="29" t="s">
        <v>356</v>
      </c>
      <c r="I531" s="20" t="s">
        <v>365</v>
      </c>
      <c r="J531" s="64">
        <f>-150*4*1350*3</f>
        <v>-2430000</v>
      </c>
      <c r="K531" s="75"/>
      <c r="M531" s="52"/>
    </row>
    <row r="532" spans="1:13" ht="19.5" customHeight="1" x14ac:dyDescent="0.15">
      <c r="A532" s="7"/>
      <c r="B532" s="7"/>
      <c r="C532" s="7"/>
      <c r="D532" s="102"/>
      <c r="E532" s="102"/>
      <c r="F532" s="102"/>
      <c r="G532" s="75"/>
      <c r="H532" s="29"/>
      <c r="I532" s="20" t="s">
        <v>366</v>
      </c>
      <c r="J532" s="64">
        <f>-170*1*3*1350</f>
        <v>-688500</v>
      </c>
      <c r="K532" s="75"/>
      <c r="M532" s="52"/>
    </row>
    <row r="533" spans="1:13" ht="19.5" customHeight="1" x14ac:dyDescent="0.15">
      <c r="A533" s="7"/>
      <c r="B533" s="7"/>
      <c r="C533" s="6"/>
      <c r="D533" s="88"/>
      <c r="E533" s="88"/>
      <c r="F533" s="88"/>
      <c r="G533" s="72"/>
      <c r="H533" s="30" t="s">
        <v>119</v>
      </c>
      <c r="I533" s="21" t="s">
        <v>367</v>
      </c>
      <c r="J533" s="65">
        <f>10*6*4*1350</f>
        <v>324000</v>
      </c>
      <c r="K533" s="72"/>
      <c r="M533" s="52"/>
    </row>
    <row r="534" spans="1:13" ht="19.5" customHeight="1" x14ac:dyDescent="0.15">
      <c r="A534" s="7"/>
      <c r="B534" s="7"/>
      <c r="C534" s="54" t="s">
        <v>37</v>
      </c>
      <c r="D534" s="88">
        <v>0</v>
      </c>
      <c r="E534" s="88">
        <v>783216</v>
      </c>
      <c r="F534" s="88">
        <v>0</v>
      </c>
      <c r="G534" s="53">
        <f>F534-D534</f>
        <v>0</v>
      </c>
      <c r="H534" s="30"/>
      <c r="I534" s="21"/>
      <c r="J534" s="65"/>
      <c r="K534" s="72"/>
      <c r="M534" s="52"/>
    </row>
    <row r="535" spans="1:13" ht="19.5" customHeight="1" x14ac:dyDescent="0.15">
      <c r="A535" s="7"/>
      <c r="B535" s="6"/>
      <c r="C535" s="54" t="s">
        <v>85</v>
      </c>
      <c r="D535" s="88">
        <v>500000</v>
      </c>
      <c r="E535" s="88">
        <v>1727984</v>
      </c>
      <c r="F535" s="88">
        <f>SUM(J535)</f>
        <v>500000</v>
      </c>
      <c r="G535" s="53">
        <f>F535-D535</f>
        <v>0</v>
      </c>
      <c r="H535" s="30" t="s">
        <v>244</v>
      </c>
      <c r="I535" s="21"/>
      <c r="J535" s="65">
        <v>500000</v>
      </c>
      <c r="K535" s="72"/>
      <c r="M535" s="52"/>
    </row>
    <row r="536" spans="1:13" ht="19.5" customHeight="1" x14ac:dyDescent="0.15">
      <c r="A536" s="7"/>
      <c r="B536" s="7" t="s">
        <v>153</v>
      </c>
      <c r="C536" s="6"/>
      <c r="D536" s="51">
        <v>25380000</v>
      </c>
      <c r="E536" s="51">
        <f>SUM(E537:E544)</f>
        <v>27641706</v>
      </c>
      <c r="F536" s="51">
        <f>SUM(F537:F544)</f>
        <v>40018500</v>
      </c>
      <c r="G536" s="74">
        <f t="shared" ref="G536:G547" si="20">F536-D536</f>
        <v>14638500</v>
      </c>
      <c r="H536" s="13"/>
      <c r="I536" s="14"/>
      <c r="J536" s="58"/>
      <c r="K536" s="74"/>
      <c r="M536" s="52"/>
    </row>
    <row r="537" spans="1:13" ht="19.5" customHeight="1" x14ac:dyDescent="0.15">
      <c r="A537" s="7"/>
      <c r="B537" s="7" t="s">
        <v>154</v>
      </c>
      <c r="C537" s="6" t="s">
        <v>148</v>
      </c>
      <c r="D537" s="53">
        <v>9360000</v>
      </c>
      <c r="E537" s="53">
        <v>12473000</v>
      </c>
      <c r="F537" s="53">
        <f>SUM(J537)</f>
        <v>15200000</v>
      </c>
      <c r="G537" s="72">
        <f t="shared" si="20"/>
        <v>5840000</v>
      </c>
      <c r="H537" s="8" t="s">
        <v>249</v>
      </c>
      <c r="I537" s="9" t="s">
        <v>329</v>
      </c>
      <c r="J537" s="56">
        <f>800000*19</f>
        <v>15200000</v>
      </c>
      <c r="K537" s="72"/>
      <c r="M537" s="52"/>
    </row>
    <row r="538" spans="1:13" ht="19.5" customHeight="1" x14ac:dyDescent="0.15">
      <c r="A538" s="7"/>
      <c r="B538" s="7" t="s">
        <v>140</v>
      </c>
      <c r="C538" s="18" t="s">
        <v>150</v>
      </c>
      <c r="D538" s="69">
        <v>13520000</v>
      </c>
      <c r="E538" s="69">
        <v>12170076</v>
      </c>
      <c r="F538" s="69">
        <f>SUM(J538:J541)</f>
        <v>22318500</v>
      </c>
      <c r="G538" s="73">
        <f t="shared" si="20"/>
        <v>8798500</v>
      </c>
      <c r="H538" s="29" t="s">
        <v>271</v>
      </c>
      <c r="I538" s="16" t="s">
        <v>330</v>
      </c>
      <c r="J538" s="59">
        <f>150*3*1740*8</f>
        <v>6264000</v>
      </c>
      <c r="K538" s="73"/>
      <c r="M538" s="52"/>
    </row>
    <row r="539" spans="1:13" ht="19.5" customHeight="1" x14ac:dyDescent="0.15">
      <c r="A539" s="7"/>
      <c r="B539" s="7" t="s">
        <v>258</v>
      </c>
      <c r="C539" s="7"/>
      <c r="D539" s="26"/>
      <c r="E539" s="26"/>
      <c r="F539" s="26"/>
      <c r="G539" s="75"/>
      <c r="H539" s="10" t="s">
        <v>332</v>
      </c>
      <c r="I539" s="11" t="s">
        <v>331</v>
      </c>
      <c r="J539" s="57">
        <f>100*16*8*1740</f>
        <v>22272000</v>
      </c>
      <c r="K539" s="75"/>
      <c r="M539" s="52"/>
    </row>
    <row r="540" spans="1:13" ht="19.5" customHeight="1" x14ac:dyDescent="0.15">
      <c r="A540" s="7"/>
      <c r="B540" s="7"/>
      <c r="C540" s="7"/>
      <c r="D540" s="26"/>
      <c r="E540" s="26"/>
      <c r="F540" s="26"/>
      <c r="G540" s="75"/>
      <c r="H540" s="29" t="s">
        <v>279</v>
      </c>
      <c r="I540" s="11" t="s">
        <v>333</v>
      </c>
      <c r="J540" s="64">
        <f>-100*7*7*1740</f>
        <v>-8526000</v>
      </c>
      <c r="K540" s="75"/>
      <c r="M540" s="52"/>
    </row>
    <row r="541" spans="1:13" ht="19.5" customHeight="1" x14ac:dyDescent="0.15">
      <c r="A541" s="7"/>
      <c r="B541" s="7"/>
      <c r="C541" s="6"/>
      <c r="D541" s="53"/>
      <c r="E541" s="53"/>
      <c r="F541" s="53"/>
      <c r="G541" s="72"/>
      <c r="H541" s="8" t="s">
        <v>266</v>
      </c>
      <c r="I541" s="9" t="s">
        <v>334</v>
      </c>
      <c r="J541" s="56">
        <f>10*19*9*1350</f>
        <v>2308500</v>
      </c>
      <c r="K541" s="72"/>
      <c r="M541" s="52"/>
    </row>
    <row r="542" spans="1:13" ht="19.5" customHeight="1" x14ac:dyDescent="0.15">
      <c r="A542" s="7"/>
      <c r="B542" s="7"/>
      <c r="C542" s="7" t="s">
        <v>145</v>
      </c>
      <c r="D542" s="26">
        <v>500000</v>
      </c>
      <c r="E542" s="26">
        <v>0</v>
      </c>
      <c r="F542" s="26">
        <f>SUM(J542:J543)</f>
        <v>500000</v>
      </c>
      <c r="G542" s="26">
        <f t="shared" si="20"/>
        <v>0</v>
      </c>
      <c r="H542" s="10" t="s">
        <v>312</v>
      </c>
      <c r="I542" s="11"/>
      <c r="J542" s="57">
        <v>250000</v>
      </c>
      <c r="K542" s="75"/>
      <c r="M542" s="52"/>
    </row>
    <row r="543" spans="1:13" ht="19.5" customHeight="1" x14ac:dyDescent="0.15">
      <c r="A543" s="7"/>
      <c r="B543" s="7"/>
      <c r="C543" s="6"/>
      <c r="D543" s="53"/>
      <c r="E543" s="53"/>
      <c r="F543" s="53"/>
      <c r="G543" s="72"/>
      <c r="H543" s="8" t="s">
        <v>290</v>
      </c>
      <c r="I543" s="9"/>
      <c r="J543" s="56">
        <v>250000</v>
      </c>
      <c r="K543" s="72"/>
      <c r="M543" s="52"/>
    </row>
    <row r="544" spans="1:13" ht="19.5" customHeight="1" x14ac:dyDescent="0.15">
      <c r="A544" s="6"/>
      <c r="B544" s="6"/>
      <c r="C544" s="6" t="s">
        <v>85</v>
      </c>
      <c r="D544" s="51">
        <v>2000000</v>
      </c>
      <c r="E544" s="51">
        <v>2998630</v>
      </c>
      <c r="F544" s="51">
        <f>SUM(J544)</f>
        <v>2000000</v>
      </c>
      <c r="G544" s="51">
        <f t="shared" si="20"/>
        <v>0</v>
      </c>
      <c r="H544" s="8" t="s">
        <v>244</v>
      </c>
      <c r="I544" s="9"/>
      <c r="J544" s="56">
        <v>2000000</v>
      </c>
      <c r="K544" s="74"/>
      <c r="M544" s="52"/>
    </row>
    <row r="545" spans="1:13" ht="17.25" customHeight="1" x14ac:dyDescent="0.15">
      <c r="A545" s="18" t="s">
        <v>139</v>
      </c>
      <c r="B545" s="7" t="s">
        <v>155</v>
      </c>
      <c r="C545" s="6"/>
      <c r="D545" s="53">
        <v>37150000</v>
      </c>
      <c r="E545" s="53">
        <f>SUM(E546:E556)</f>
        <v>43588588</v>
      </c>
      <c r="F545" s="53">
        <f>SUM(F546:F556)</f>
        <v>70971920</v>
      </c>
      <c r="G545" s="72">
        <f t="shared" si="20"/>
        <v>33821920</v>
      </c>
      <c r="H545" s="8"/>
      <c r="I545" s="14"/>
      <c r="J545" s="58"/>
      <c r="K545" s="72"/>
      <c r="M545" s="52"/>
    </row>
    <row r="546" spans="1:13" ht="17.25" customHeight="1" x14ac:dyDescent="0.15">
      <c r="A546" s="7"/>
      <c r="B546" s="7" t="s">
        <v>140</v>
      </c>
      <c r="C546" s="6" t="s">
        <v>148</v>
      </c>
      <c r="D546" s="53">
        <v>21780000</v>
      </c>
      <c r="E546" s="53">
        <v>20970800</v>
      </c>
      <c r="F546" s="53">
        <f>SUM(J546)</f>
        <v>37489600</v>
      </c>
      <c r="G546" s="72">
        <f t="shared" si="20"/>
        <v>15709600</v>
      </c>
      <c r="H546" s="8" t="s">
        <v>142</v>
      </c>
      <c r="I546" s="9" t="s">
        <v>620</v>
      </c>
      <c r="J546" s="56">
        <f>2343100*16</f>
        <v>37489600</v>
      </c>
      <c r="K546" s="72"/>
      <c r="M546" s="52"/>
    </row>
    <row r="547" spans="1:13" ht="17.25" customHeight="1" x14ac:dyDescent="0.15">
      <c r="A547" s="7"/>
      <c r="B547" s="7" t="s">
        <v>361</v>
      </c>
      <c r="C547" s="7" t="s">
        <v>150</v>
      </c>
      <c r="D547" s="26">
        <v>12870000</v>
      </c>
      <c r="E547" s="26">
        <v>19445502</v>
      </c>
      <c r="F547" s="26">
        <f>SUM(J547:J553)</f>
        <v>30982320</v>
      </c>
      <c r="G547" s="75">
        <f t="shared" si="20"/>
        <v>18112320</v>
      </c>
      <c r="H547" s="10" t="s">
        <v>353</v>
      </c>
      <c r="I547" s="11" t="s">
        <v>621</v>
      </c>
      <c r="J547" s="57">
        <f>120*6*1740*13</f>
        <v>16286400</v>
      </c>
      <c r="K547" s="75"/>
      <c r="M547" s="52"/>
    </row>
    <row r="548" spans="1:13" ht="17.25" customHeight="1" x14ac:dyDescent="0.15">
      <c r="A548" s="7"/>
      <c r="B548" s="7"/>
      <c r="C548" s="7"/>
      <c r="D548" s="26"/>
      <c r="E548" s="26"/>
      <c r="F548" s="26"/>
      <c r="G548" s="75"/>
      <c r="H548" s="10" t="s">
        <v>354</v>
      </c>
      <c r="I548" s="11" t="s">
        <v>355</v>
      </c>
      <c r="J548" s="57">
        <f>80*10*13*1740</f>
        <v>18096000</v>
      </c>
      <c r="K548" s="75"/>
      <c r="M548" s="52"/>
    </row>
    <row r="549" spans="1:13" ht="17.25" customHeight="1" x14ac:dyDescent="0.15">
      <c r="A549" s="7"/>
      <c r="B549" s="7"/>
      <c r="C549" s="7"/>
      <c r="D549" s="26"/>
      <c r="E549" s="26"/>
      <c r="F549" s="26"/>
      <c r="G549" s="75"/>
      <c r="H549" s="10" t="s">
        <v>356</v>
      </c>
      <c r="I549" s="11" t="s">
        <v>357</v>
      </c>
      <c r="J549" s="57">
        <f>-80*5*10*1740</f>
        <v>-6960000</v>
      </c>
      <c r="K549" s="75"/>
      <c r="M549" s="52"/>
    </row>
    <row r="550" spans="1:13" ht="17.25" customHeight="1" x14ac:dyDescent="0.15">
      <c r="A550" s="7"/>
      <c r="B550" s="7"/>
      <c r="C550" s="7"/>
      <c r="D550" s="26"/>
      <c r="E550" s="26"/>
      <c r="F550" s="26"/>
      <c r="G550" s="75"/>
      <c r="H550" s="10" t="s">
        <v>285</v>
      </c>
      <c r="I550" s="11" t="s">
        <v>358</v>
      </c>
      <c r="J550" s="57">
        <f>34*2*1740</f>
        <v>118320</v>
      </c>
      <c r="K550" s="75"/>
      <c r="M550" s="52"/>
    </row>
    <row r="551" spans="1:13" ht="17.25" customHeight="1" x14ac:dyDescent="0.15">
      <c r="A551" s="7"/>
      <c r="B551" s="7"/>
      <c r="C551" s="7"/>
      <c r="D551" s="26"/>
      <c r="E551" s="26"/>
      <c r="F551" s="26"/>
      <c r="G551" s="75"/>
      <c r="H551" s="10"/>
      <c r="I551" s="11" t="s">
        <v>360</v>
      </c>
      <c r="J551" s="57">
        <f>10*8*1740</f>
        <v>139200</v>
      </c>
      <c r="K551" s="75"/>
      <c r="M551" s="52"/>
    </row>
    <row r="552" spans="1:13" ht="17.25" customHeight="1" x14ac:dyDescent="0.15">
      <c r="A552" s="7"/>
      <c r="B552" s="7"/>
      <c r="C552" s="7"/>
      <c r="D552" s="26"/>
      <c r="E552" s="26"/>
      <c r="F552" s="26"/>
      <c r="G552" s="75"/>
      <c r="H552" s="10"/>
      <c r="I552" s="11" t="s">
        <v>359</v>
      </c>
      <c r="J552" s="57">
        <f>20*8*1740</f>
        <v>278400</v>
      </c>
      <c r="K552" s="75"/>
      <c r="M552" s="52"/>
    </row>
    <row r="553" spans="1:13" ht="17.25" customHeight="1" x14ac:dyDescent="0.15">
      <c r="A553" s="7"/>
      <c r="B553" s="7"/>
      <c r="C553" s="6"/>
      <c r="D553" s="53"/>
      <c r="E553" s="53"/>
      <c r="F553" s="53"/>
      <c r="G553" s="72"/>
      <c r="H553" s="8" t="s">
        <v>119</v>
      </c>
      <c r="I553" s="9" t="s">
        <v>622</v>
      </c>
      <c r="J553" s="56">
        <f>10*16*14*1350</f>
        <v>3024000</v>
      </c>
      <c r="K553" s="72"/>
      <c r="M553" s="52"/>
    </row>
    <row r="554" spans="1:13" ht="17.25" customHeight="1" x14ac:dyDescent="0.15">
      <c r="A554" s="7"/>
      <c r="B554" s="7"/>
      <c r="C554" s="18" t="s">
        <v>145</v>
      </c>
      <c r="D554" s="69">
        <v>500000</v>
      </c>
      <c r="E554" s="69">
        <v>318160</v>
      </c>
      <c r="F554" s="69">
        <f>SUM(J554:J555)</f>
        <v>500000</v>
      </c>
      <c r="G554" s="69">
        <f>F554-D554</f>
        <v>0</v>
      </c>
      <c r="H554" s="15" t="s">
        <v>312</v>
      </c>
      <c r="I554" s="16"/>
      <c r="J554" s="59">
        <v>250000</v>
      </c>
      <c r="K554" s="69"/>
      <c r="M554" s="52"/>
    </row>
    <row r="555" spans="1:13" ht="17.25" customHeight="1" x14ac:dyDescent="0.15">
      <c r="A555" s="7"/>
      <c r="B555" s="7"/>
      <c r="C555" s="6"/>
      <c r="D555" s="53"/>
      <c r="E555" s="53"/>
      <c r="F555" s="53"/>
      <c r="G555" s="72"/>
      <c r="H555" s="8" t="s">
        <v>290</v>
      </c>
      <c r="I555" s="9"/>
      <c r="J555" s="56">
        <v>250000</v>
      </c>
      <c r="K555" s="72"/>
      <c r="M555" s="52"/>
    </row>
    <row r="556" spans="1:13" ht="17.25" customHeight="1" x14ac:dyDescent="0.15">
      <c r="A556" s="7"/>
      <c r="B556" s="6"/>
      <c r="C556" s="6" t="s">
        <v>85</v>
      </c>
      <c r="D556" s="53">
        <v>2000000</v>
      </c>
      <c r="E556" s="53">
        <v>2854126</v>
      </c>
      <c r="F556" s="53">
        <f>SUM(J556)</f>
        <v>2000000</v>
      </c>
      <c r="G556" s="53">
        <f>F556-D556</f>
        <v>0</v>
      </c>
      <c r="H556" s="8" t="s">
        <v>86</v>
      </c>
      <c r="I556" s="9"/>
      <c r="J556" s="56">
        <v>2000000</v>
      </c>
      <c r="K556" s="53"/>
      <c r="M556" s="52"/>
    </row>
    <row r="557" spans="1:13" ht="17.25" customHeight="1" x14ac:dyDescent="0.15">
      <c r="A557" s="7"/>
      <c r="B557" s="7" t="s">
        <v>138</v>
      </c>
      <c r="C557" s="7"/>
      <c r="D557" s="53">
        <v>45343800</v>
      </c>
      <c r="E557" s="53">
        <f>SUM(E558:E563)</f>
        <v>0</v>
      </c>
      <c r="F557" s="53">
        <f>SUM(F558:F563)</f>
        <v>22628000</v>
      </c>
      <c r="G557" s="72">
        <f>F557-D557</f>
        <v>-22715800</v>
      </c>
      <c r="H557" s="10"/>
      <c r="I557" s="11"/>
      <c r="J557" s="57"/>
      <c r="K557" s="72"/>
      <c r="M557" s="52"/>
    </row>
    <row r="558" spans="1:13" ht="17.25" customHeight="1" x14ac:dyDescent="0.15">
      <c r="A558" s="7"/>
      <c r="B558" s="7" t="s">
        <v>156</v>
      </c>
      <c r="C558" s="12" t="s">
        <v>148</v>
      </c>
      <c r="D558" s="51">
        <v>25253800</v>
      </c>
      <c r="E558" s="51">
        <v>0</v>
      </c>
      <c r="F558" s="51">
        <f>SUM(J558)</f>
        <v>4940000</v>
      </c>
      <c r="G558" s="74">
        <f>F558-D558</f>
        <v>-20313800</v>
      </c>
      <c r="H558" s="13" t="s">
        <v>142</v>
      </c>
      <c r="I558" s="17" t="s">
        <v>644</v>
      </c>
      <c r="J558" s="58">
        <f>380000*13</f>
        <v>4940000</v>
      </c>
      <c r="K558" s="74"/>
      <c r="M558" s="52"/>
    </row>
    <row r="559" spans="1:13" ht="17.25" customHeight="1" x14ac:dyDescent="0.15">
      <c r="A559" s="7"/>
      <c r="B559" s="7" t="s">
        <v>614</v>
      </c>
      <c r="C559" s="18" t="s">
        <v>150</v>
      </c>
      <c r="D559" s="69">
        <v>18590000</v>
      </c>
      <c r="E559" s="69">
        <v>0</v>
      </c>
      <c r="F559" s="69">
        <f>SUM(J559:J560)</f>
        <v>16146000</v>
      </c>
      <c r="G559" s="73">
        <f>F559-D559</f>
        <v>-2444000</v>
      </c>
      <c r="H559" s="15" t="s">
        <v>144</v>
      </c>
      <c r="I559" s="16" t="s">
        <v>645</v>
      </c>
      <c r="J559" s="59">
        <f>60*13*13*1350</f>
        <v>13689000</v>
      </c>
      <c r="K559" s="73"/>
      <c r="M559" s="52"/>
    </row>
    <row r="560" spans="1:13" ht="17.25" customHeight="1" x14ac:dyDescent="0.15">
      <c r="A560" s="7"/>
      <c r="B560" s="7"/>
      <c r="C560" s="6"/>
      <c r="D560" s="53"/>
      <c r="E560" s="53"/>
      <c r="F560" s="53"/>
      <c r="G560" s="72"/>
      <c r="H560" s="8" t="s">
        <v>119</v>
      </c>
      <c r="I560" s="9" t="s">
        <v>646</v>
      </c>
      <c r="J560" s="56">
        <f>10*13*14*1350</f>
        <v>2457000</v>
      </c>
      <c r="K560" s="72"/>
      <c r="M560" s="52"/>
    </row>
    <row r="561" spans="1:13" ht="17.25" customHeight="1" x14ac:dyDescent="0.15">
      <c r="A561" s="7"/>
      <c r="B561" s="7"/>
      <c r="C561" s="18" t="s">
        <v>145</v>
      </c>
      <c r="D561" s="69">
        <v>500000</v>
      </c>
      <c r="E561" s="69">
        <v>0</v>
      </c>
      <c r="F561" s="69">
        <f>SUM(J561:J562)</f>
        <v>542000</v>
      </c>
      <c r="G561" s="73">
        <f>F561-D561</f>
        <v>42000</v>
      </c>
      <c r="H561" s="15" t="s">
        <v>647</v>
      </c>
      <c r="I561" s="16" t="s">
        <v>648</v>
      </c>
      <c r="J561" s="59">
        <f>10000*13</f>
        <v>130000</v>
      </c>
      <c r="K561" s="73"/>
      <c r="M561" s="52"/>
    </row>
    <row r="562" spans="1:13" ht="17.25" customHeight="1" x14ac:dyDescent="0.15">
      <c r="A562" s="7"/>
      <c r="B562" s="7"/>
      <c r="C562" s="6"/>
      <c r="D562" s="53"/>
      <c r="E562" s="53"/>
      <c r="F562" s="53"/>
      <c r="G562" s="72"/>
      <c r="H562" s="8" t="s">
        <v>290</v>
      </c>
      <c r="I562" s="9"/>
      <c r="J562" s="56">
        <v>412000</v>
      </c>
      <c r="K562" s="72"/>
      <c r="M562" s="52"/>
    </row>
    <row r="563" spans="1:13" ht="17.25" customHeight="1" x14ac:dyDescent="0.15">
      <c r="A563" s="7"/>
      <c r="B563" s="6"/>
      <c r="C563" s="12" t="s">
        <v>85</v>
      </c>
      <c r="D563" s="51">
        <v>1000000</v>
      </c>
      <c r="E563" s="51">
        <v>0</v>
      </c>
      <c r="F563" s="51">
        <f>SUM(J563)</f>
        <v>1000000</v>
      </c>
      <c r="G563" s="74">
        <f>F563-D563</f>
        <v>0</v>
      </c>
      <c r="H563" s="13" t="s">
        <v>86</v>
      </c>
      <c r="I563" s="14"/>
      <c r="J563" s="58">
        <v>1000000</v>
      </c>
      <c r="K563" s="74"/>
      <c r="M563" s="52"/>
    </row>
    <row r="564" spans="1:13" ht="17.25" customHeight="1" x14ac:dyDescent="0.15">
      <c r="A564" s="7"/>
      <c r="B564" s="7" t="s">
        <v>259</v>
      </c>
      <c r="C564" s="7"/>
      <c r="D564" s="53">
        <v>49450000</v>
      </c>
      <c r="E564" s="51">
        <f>SUM(E565:E573)</f>
        <v>0</v>
      </c>
      <c r="F564" s="51">
        <f>SUM(F565:F573)</f>
        <v>82811400</v>
      </c>
      <c r="G564" s="74">
        <f>F564-D564</f>
        <v>33361400</v>
      </c>
      <c r="H564" s="10"/>
      <c r="I564" s="11"/>
      <c r="J564" s="57"/>
      <c r="K564" s="74"/>
      <c r="M564" s="52"/>
    </row>
    <row r="565" spans="1:13" ht="17.25" customHeight="1" x14ac:dyDescent="0.15">
      <c r="A565" s="7"/>
      <c r="B565" s="7" t="s">
        <v>260</v>
      </c>
      <c r="C565" s="12" t="s">
        <v>148</v>
      </c>
      <c r="D565" s="51">
        <v>27000000</v>
      </c>
      <c r="E565" s="51">
        <v>0</v>
      </c>
      <c r="F565" s="51">
        <f>SUM(J565)</f>
        <v>40500000</v>
      </c>
      <c r="G565" s="74">
        <f>F565-D565</f>
        <v>13500000</v>
      </c>
      <c r="H565" s="13" t="s">
        <v>142</v>
      </c>
      <c r="I565" s="14" t="s">
        <v>369</v>
      </c>
      <c r="J565" s="58">
        <f>2700000*15</f>
        <v>40500000</v>
      </c>
      <c r="K565" s="74"/>
      <c r="M565" s="52"/>
    </row>
    <row r="566" spans="1:13" ht="17.25" customHeight="1" x14ac:dyDescent="0.15">
      <c r="A566" s="7"/>
      <c r="B566" s="7" t="s">
        <v>368</v>
      </c>
      <c r="C566" s="7" t="s">
        <v>150</v>
      </c>
      <c r="D566" s="26">
        <v>21450000</v>
      </c>
      <c r="E566" s="26">
        <v>0</v>
      </c>
      <c r="F566" s="69">
        <f>SUM(J566:J570)</f>
        <v>37811400</v>
      </c>
      <c r="G566" s="75">
        <f>F566-D566</f>
        <v>16361400</v>
      </c>
      <c r="H566" s="10" t="s">
        <v>372</v>
      </c>
      <c r="I566" s="11" t="s">
        <v>370</v>
      </c>
      <c r="J566" s="57">
        <f>120*1*7*1740</f>
        <v>1461600</v>
      </c>
      <c r="K566" s="75"/>
      <c r="M566" s="52"/>
    </row>
    <row r="567" spans="1:13" ht="17.25" customHeight="1" x14ac:dyDescent="0.15">
      <c r="A567" s="7"/>
      <c r="B567" s="7"/>
      <c r="C567" s="7"/>
      <c r="D567" s="26"/>
      <c r="E567" s="26"/>
      <c r="F567" s="26"/>
      <c r="G567" s="75"/>
      <c r="H567" s="10" t="s">
        <v>354</v>
      </c>
      <c r="I567" s="11" t="s">
        <v>371</v>
      </c>
      <c r="J567" s="57">
        <f>80*14*7*1740</f>
        <v>13641600</v>
      </c>
      <c r="K567" s="75"/>
      <c r="M567" s="52"/>
    </row>
    <row r="568" spans="1:13" ht="17.25" customHeight="1" x14ac:dyDescent="0.15">
      <c r="A568" s="7"/>
      <c r="B568" s="7"/>
      <c r="C568" s="7"/>
      <c r="D568" s="26"/>
      <c r="E568" s="26"/>
      <c r="F568" s="26"/>
      <c r="G568" s="75"/>
      <c r="H568" s="10" t="s">
        <v>373</v>
      </c>
      <c r="I568" s="11" t="s">
        <v>375</v>
      </c>
      <c r="J568" s="57">
        <f>145*1*7*1740</f>
        <v>1766100</v>
      </c>
      <c r="K568" s="75"/>
      <c r="M568" s="52"/>
    </row>
    <row r="569" spans="1:13" ht="17.25" customHeight="1" x14ac:dyDescent="0.15">
      <c r="A569" s="7"/>
      <c r="B569" s="7"/>
      <c r="C569" s="7"/>
      <c r="D569" s="26"/>
      <c r="E569" s="26"/>
      <c r="F569" s="26"/>
      <c r="G569" s="75"/>
      <c r="H569" s="10" t="s">
        <v>374</v>
      </c>
      <c r="I569" s="11" t="s">
        <v>376</v>
      </c>
      <c r="J569" s="57">
        <f>105*14*7*1740</f>
        <v>17904600</v>
      </c>
      <c r="K569" s="75"/>
      <c r="M569" s="52"/>
    </row>
    <row r="570" spans="1:13" ht="17.25" customHeight="1" x14ac:dyDescent="0.15">
      <c r="A570" s="7"/>
      <c r="B570" s="7"/>
      <c r="C570" s="6"/>
      <c r="D570" s="53"/>
      <c r="E570" s="53"/>
      <c r="F570" s="53"/>
      <c r="G570" s="72"/>
      <c r="H570" s="8" t="s">
        <v>119</v>
      </c>
      <c r="I570" s="9" t="s">
        <v>377</v>
      </c>
      <c r="J570" s="56">
        <f>10*15*15*1350</f>
        <v>3037500</v>
      </c>
      <c r="K570" s="72"/>
      <c r="M570" s="52"/>
    </row>
    <row r="571" spans="1:13" ht="17.25" customHeight="1" x14ac:dyDescent="0.15">
      <c r="A571" s="7"/>
      <c r="B571" s="7"/>
      <c r="C571" s="7" t="s">
        <v>378</v>
      </c>
      <c r="D571" s="26">
        <v>0</v>
      </c>
      <c r="E571" s="26">
        <v>0</v>
      </c>
      <c r="F571" s="26">
        <f>SUM(J571:J572)</f>
        <v>500000</v>
      </c>
      <c r="G571" s="75">
        <f>F571-D571</f>
        <v>500000</v>
      </c>
      <c r="H571" s="10" t="s">
        <v>312</v>
      </c>
      <c r="I571" s="11"/>
      <c r="J571" s="57">
        <v>250000</v>
      </c>
      <c r="K571" s="75"/>
      <c r="M571" s="52"/>
    </row>
    <row r="572" spans="1:13" ht="17.25" customHeight="1" x14ac:dyDescent="0.15">
      <c r="A572" s="7"/>
      <c r="B572" s="7"/>
      <c r="C572" s="6"/>
      <c r="D572" s="53"/>
      <c r="E572" s="53"/>
      <c r="F572" s="53"/>
      <c r="G572" s="72"/>
      <c r="H572" s="8" t="s">
        <v>290</v>
      </c>
      <c r="I572" s="9"/>
      <c r="J572" s="56">
        <v>250000</v>
      </c>
      <c r="K572" s="72"/>
      <c r="M572" s="52"/>
    </row>
    <row r="573" spans="1:13" ht="17.25" customHeight="1" x14ac:dyDescent="0.15">
      <c r="A573" s="6"/>
      <c r="B573" s="6"/>
      <c r="C573" s="6" t="s">
        <v>85</v>
      </c>
      <c r="D573" s="53">
        <v>1000000</v>
      </c>
      <c r="E573" s="53">
        <v>0</v>
      </c>
      <c r="F573" s="51">
        <f>SUM(J573)</f>
        <v>4000000</v>
      </c>
      <c r="G573" s="72">
        <f>F573-D573</f>
        <v>3000000</v>
      </c>
      <c r="H573" s="8" t="s">
        <v>244</v>
      </c>
      <c r="I573" s="9" t="s">
        <v>328</v>
      </c>
      <c r="J573" s="56">
        <f>2000000*2</f>
        <v>4000000</v>
      </c>
      <c r="K573" s="72"/>
      <c r="M573" s="52"/>
    </row>
    <row r="574" spans="1:13" ht="18.75" customHeight="1" x14ac:dyDescent="0.15">
      <c r="A574" s="18" t="s">
        <v>139</v>
      </c>
      <c r="B574" s="7" t="s">
        <v>259</v>
      </c>
      <c r="C574" s="6"/>
      <c r="D574" s="53">
        <f>SUM(D575:D583)</f>
        <v>0</v>
      </c>
      <c r="E574" s="53">
        <f>SUM(E575:E583)</f>
        <v>13075539</v>
      </c>
      <c r="F574" s="53">
        <f>SUM(F575:F583)</f>
        <v>72205350</v>
      </c>
      <c r="G574" s="72">
        <f>SUM(G575:G583)</f>
        <v>72205350</v>
      </c>
      <c r="H574" s="8"/>
      <c r="I574" s="9"/>
      <c r="J574" s="56"/>
      <c r="K574" s="72"/>
      <c r="M574" s="52"/>
    </row>
    <row r="575" spans="1:13" ht="18.75" customHeight="1" x14ac:dyDescent="0.15">
      <c r="A575" s="7"/>
      <c r="B575" s="7" t="s">
        <v>400</v>
      </c>
      <c r="C575" s="6" t="s">
        <v>148</v>
      </c>
      <c r="D575" s="53">
        <v>0</v>
      </c>
      <c r="E575" s="53">
        <v>10891500</v>
      </c>
      <c r="F575" s="53">
        <f>J575</f>
        <v>40500000</v>
      </c>
      <c r="G575" s="72">
        <f>F575-D575</f>
        <v>40500000</v>
      </c>
      <c r="H575" s="8" t="s">
        <v>142</v>
      </c>
      <c r="I575" s="9" t="s">
        <v>369</v>
      </c>
      <c r="J575" s="56">
        <f>2700000*15</f>
        <v>40500000</v>
      </c>
      <c r="K575" s="72"/>
      <c r="M575" s="52"/>
    </row>
    <row r="576" spans="1:13" ht="18.75" customHeight="1" x14ac:dyDescent="0.15">
      <c r="A576" s="7"/>
      <c r="B576" s="7" t="s">
        <v>401</v>
      </c>
      <c r="C576" s="7" t="s">
        <v>150</v>
      </c>
      <c r="D576" s="26">
        <v>0</v>
      </c>
      <c r="E576" s="26">
        <v>1604960</v>
      </c>
      <c r="F576" s="26">
        <f>SUM(J576:J580)</f>
        <v>27205350</v>
      </c>
      <c r="G576" s="75">
        <f>F576-D576</f>
        <v>27205350</v>
      </c>
      <c r="H576" s="10" t="s">
        <v>402</v>
      </c>
      <c r="I576" s="11" t="s">
        <v>403</v>
      </c>
      <c r="J576" s="57">
        <f>100*1*7*1740</f>
        <v>1218000</v>
      </c>
      <c r="K576" s="75"/>
      <c r="M576" s="52"/>
    </row>
    <row r="577" spans="1:13" ht="18.75" customHeight="1" x14ac:dyDescent="0.15">
      <c r="A577" s="7"/>
      <c r="B577" s="7"/>
      <c r="C577" s="7"/>
      <c r="D577" s="26"/>
      <c r="E577" s="26"/>
      <c r="F577" s="26"/>
      <c r="G577" s="75"/>
      <c r="H577" s="10" t="s">
        <v>354</v>
      </c>
      <c r="I577" s="11" t="s">
        <v>371</v>
      </c>
      <c r="J577" s="57">
        <f>80*14*7*1740</f>
        <v>13641600</v>
      </c>
      <c r="K577" s="75"/>
      <c r="M577" s="52"/>
    </row>
    <row r="578" spans="1:13" ht="18.75" customHeight="1" x14ac:dyDescent="0.15">
      <c r="A578" s="7"/>
      <c r="B578" s="7"/>
      <c r="C578" s="7"/>
      <c r="D578" s="26"/>
      <c r="E578" s="26"/>
      <c r="F578" s="26"/>
      <c r="G578" s="75"/>
      <c r="H578" s="10" t="s">
        <v>404</v>
      </c>
      <c r="I578" s="11" t="s">
        <v>405</v>
      </c>
      <c r="J578" s="57">
        <f>75*1*7*1350</f>
        <v>708750</v>
      </c>
      <c r="K578" s="75"/>
      <c r="M578" s="52"/>
    </row>
    <row r="579" spans="1:13" ht="18.75" customHeight="1" x14ac:dyDescent="0.15">
      <c r="A579" s="7"/>
      <c r="B579" s="7"/>
      <c r="C579" s="7"/>
      <c r="D579" s="26"/>
      <c r="E579" s="26"/>
      <c r="F579" s="26"/>
      <c r="G579" s="75"/>
      <c r="H579" s="10" t="s">
        <v>406</v>
      </c>
      <c r="I579" s="11" t="s">
        <v>407</v>
      </c>
      <c r="J579" s="57">
        <f>65*14*7*1350</f>
        <v>8599500</v>
      </c>
      <c r="K579" s="75"/>
      <c r="M579" s="52"/>
    </row>
    <row r="580" spans="1:13" ht="18.75" customHeight="1" x14ac:dyDescent="0.15">
      <c r="A580" s="7"/>
      <c r="B580" s="7"/>
      <c r="C580" s="6"/>
      <c r="D580" s="53"/>
      <c r="E580" s="53"/>
      <c r="F580" s="53"/>
      <c r="G580" s="72"/>
      <c r="H580" s="8" t="s">
        <v>119</v>
      </c>
      <c r="I580" s="9" t="s">
        <v>377</v>
      </c>
      <c r="J580" s="56">
        <f>10*15*15*1350</f>
        <v>3037500</v>
      </c>
      <c r="K580" s="72"/>
      <c r="M580" s="52"/>
    </row>
    <row r="581" spans="1:13" ht="18.75" customHeight="1" x14ac:dyDescent="0.15">
      <c r="A581" s="7"/>
      <c r="B581" s="7"/>
      <c r="C581" s="7" t="s">
        <v>145</v>
      </c>
      <c r="D581" s="26">
        <v>0</v>
      </c>
      <c r="E581" s="26">
        <v>0</v>
      </c>
      <c r="F581" s="26">
        <f>SUM(J581:J582)</f>
        <v>500000</v>
      </c>
      <c r="G581" s="75">
        <f>F581-D581</f>
        <v>500000</v>
      </c>
      <c r="H581" s="10" t="s">
        <v>312</v>
      </c>
      <c r="I581" s="11"/>
      <c r="J581" s="57">
        <v>250000</v>
      </c>
      <c r="K581" s="75"/>
      <c r="M581" s="52"/>
    </row>
    <row r="582" spans="1:13" ht="18.75" customHeight="1" x14ac:dyDescent="0.15">
      <c r="A582" s="7"/>
      <c r="B582" s="7"/>
      <c r="C582" s="6"/>
      <c r="D582" s="53"/>
      <c r="E582" s="53"/>
      <c r="F582" s="53"/>
      <c r="G582" s="72"/>
      <c r="H582" s="8" t="s">
        <v>290</v>
      </c>
      <c r="I582" s="9"/>
      <c r="J582" s="56">
        <v>250000</v>
      </c>
      <c r="K582" s="72"/>
      <c r="M582" s="52"/>
    </row>
    <row r="583" spans="1:13" ht="18.75" customHeight="1" x14ac:dyDescent="0.15">
      <c r="A583" s="7"/>
      <c r="B583" s="6"/>
      <c r="C583" s="6" t="s">
        <v>85</v>
      </c>
      <c r="D583" s="53">
        <v>0</v>
      </c>
      <c r="E583" s="53">
        <v>579079</v>
      </c>
      <c r="F583" s="53">
        <f>SUM(J583)</f>
        <v>4000000</v>
      </c>
      <c r="G583" s="72">
        <f>F583-D583</f>
        <v>4000000</v>
      </c>
      <c r="H583" s="8"/>
      <c r="I583" s="9"/>
      <c r="J583" s="56">
        <v>4000000</v>
      </c>
      <c r="K583" s="72"/>
      <c r="M583" s="52"/>
    </row>
    <row r="584" spans="1:13" ht="18.75" customHeight="1" x14ac:dyDescent="0.15">
      <c r="A584" s="7"/>
      <c r="B584" s="7" t="s">
        <v>391</v>
      </c>
      <c r="C584" s="6"/>
      <c r="D584" s="53">
        <f>SUM(D585:D589)</f>
        <v>0</v>
      </c>
      <c r="E584" s="53">
        <f>SUM(E585:E589)</f>
        <v>0</v>
      </c>
      <c r="F584" s="53">
        <f>SUM(F585:F589)</f>
        <v>7123000</v>
      </c>
      <c r="G584" s="72">
        <f>SUM(G585:G589)</f>
        <v>7123000</v>
      </c>
      <c r="H584" s="8"/>
      <c r="I584" s="9"/>
      <c r="J584" s="56"/>
      <c r="K584" s="72"/>
      <c r="M584" s="52"/>
    </row>
    <row r="585" spans="1:13" ht="18.75" customHeight="1" x14ac:dyDescent="0.15">
      <c r="A585" s="7"/>
      <c r="B585" s="7" t="s">
        <v>393</v>
      </c>
      <c r="C585" s="6" t="s">
        <v>148</v>
      </c>
      <c r="D585" s="53">
        <v>0</v>
      </c>
      <c r="E585" s="53">
        <v>0</v>
      </c>
      <c r="F585" s="51">
        <f>SUM(J585)</f>
        <v>4658000</v>
      </c>
      <c r="G585" s="72">
        <f>F585-D585</f>
        <v>4658000</v>
      </c>
      <c r="H585" s="8" t="s">
        <v>142</v>
      </c>
      <c r="I585" s="9" t="s">
        <v>394</v>
      </c>
      <c r="J585" s="56">
        <f>582250*8</f>
        <v>4658000</v>
      </c>
      <c r="K585" s="72"/>
      <c r="M585" s="52"/>
    </row>
    <row r="586" spans="1:13" ht="18.75" customHeight="1" x14ac:dyDescent="0.15">
      <c r="A586" s="7"/>
      <c r="B586" s="7" t="s">
        <v>392</v>
      </c>
      <c r="C586" s="7" t="s">
        <v>150</v>
      </c>
      <c r="D586" s="26">
        <v>0</v>
      </c>
      <c r="E586" s="26">
        <v>0</v>
      </c>
      <c r="F586" s="69">
        <f>SUM(J586:J587)</f>
        <v>1215000</v>
      </c>
      <c r="G586" s="75">
        <f>F586-D586</f>
        <v>1215000</v>
      </c>
      <c r="H586" s="10" t="s">
        <v>395</v>
      </c>
      <c r="I586" s="11" t="s">
        <v>396</v>
      </c>
      <c r="J586" s="57">
        <f>125*1*4*1350</f>
        <v>675000</v>
      </c>
      <c r="K586" s="75"/>
      <c r="M586" s="52"/>
    </row>
    <row r="587" spans="1:13" ht="18.75" customHeight="1" x14ac:dyDescent="0.15">
      <c r="A587" s="7"/>
      <c r="B587" s="7"/>
      <c r="C587" s="6"/>
      <c r="D587" s="53"/>
      <c r="E587" s="53"/>
      <c r="F587" s="53"/>
      <c r="G587" s="72"/>
      <c r="H587" s="8" t="s">
        <v>119</v>
      </c>
      <c r="I587" s="9" t="s">
        <v>397</v>
      </c>
      <c r="J587" s="56">
        <f>10*8*5*1350</f>
        <v>540000</v>
      </c>
      <c r="K587" s="72"/>
      <c r="M587" s="52"/>
    </row>
    <row r="588" spans="1:13" ht="18.75" customHeight="1" x14ac:dyDescent="0.15">
      <c r="A588" s="7"/>
      <c r="B588" s="7"/>
      <c r="C588" s="6" t="s">
        <v>145</v>
      </c>
      <c r="D588" s="53">
        <v>0</v>
      </c>
      <c r="E588" s="53">
        <v>0</v>
      </c>
      <c r="F588" s="51">
        <f>SUM(J588)</f>
        <v>250000</v>
      </c>
      <c r="G588" s="72">
        <f>F588-D588</f>
        <v>250000</v>
      </c>
      <c r="H588" s="8" t="s">
        <v>290</v>
      </c>
      <c r="I588" s="9"/>
      <c r="J588" s="56">
        <v>250000</v>
      </c>
      <c r="K588" s="72"/>
      <c r="M588" s="52"/>
    </row>
    <row r="589" spans="1:13" ht="18.75" customHeight="1" x14ac:dyDescent="0.15">
      <c r="A589" s="7"/>
      <c r="B589" s="6"/>
      <c r="C589" s="6" t="s">
        <v>85</v>
      </c>
      <c r="D589" s="53">
        <v>0</v>
      </c>
      <c r="E589" s="53">
        <v>0</v>
      </c>
      <c r="F589" s="51">
        <f>J589</f>
        <v>1000000</v>
      </c>
      <c r="G589" s="72">
        <f>F589-D589</f>
        <v>1000000</v>
      </c>
      <c r="H589" s="8" t="s">
        <v>86</v>
      </c>
      <c r="I589" s="9"/>
      <c r="J589" s="56">
        <v>1000000</v>
      </c>
      <c r="K589" s="72"/>
      <c r="M589" s="52"/>
    </row>
    <row r="590" spans="1:13" ht="18.75" customHeight="1" x14ac:dyDescent="0.15">
      <c r="A590" s="7"/>
      <c r="B590" s="7" t="s">
        <v>595</v>
      </c>
      <c r="C590" s="6"/>
      <c r="D590" s="53">
        <f>SUM(D591:D600)</f>
        <v>0</v>
      </c>
      <c r="E590" s="53">
        <f>SUM(E591:E600)</f>
        <v>0</v>
      </c>
      <c r="F590" s="53">
        <f>SUM(F591:F600)</f>
        <v>30015200</v>
      </c>
      <c r="G590" s="53">
        <f>SUM(G591:G600)</f>
        <v>30015200</v>
      </c>
      <c r="H590" s="8"/>
      <c r="I590" s="9"/>
      <c r="J590" s="56"/>
      <c r="K590" s="53"/>
      <c r="M590" s="52"/>
    </row>
    <row r="591" spans="1:13" ht="18.75" customHeight="1" x14ac:dyDescent="0.15">
      <c r="A591" s="7"/>
      <c r="B591" s="7" t="s">
        <v>596</v>
      </c>
      <c r="C591" s="7" t="s">
        <v>148</v>
      </c>
      <c r="D591" s="26">
        <v>0</v>
      </c>
      <c r="E591" s="26">
        <v>0</v>
      </c>
      <c r="F591" s="69">
        <f>SUM(J591:J592)</f>
        <v>6921700</v>
      </c>
      <c r="G591" s="75">
        <f>F591-D591</f>
        <v>6921700</v>
      </c>
      <c r="H591" s="10" t="s">
        <v>597</v>
      </c>
      <c r="I591" s="11" t="s">
        <v>598</v>
      </c>
      <c r="J591" s="57">
        <v>1212900</v>
      </c>
      <c r="K591" s="75"/>
      <c r="M591" s="52"/>
    </row>
    <row r="592" spans="1:13" ht="18.75" customHeight="1" x14ac:dyDescent="0.15">
      <c r="A592" s="7"/>
      <c r="B592" s="7" t="s">
        <v>614</v>
      </c>
      <c r="C592" s="6"/>
      <c r="D592" s="53"/>
      <c r="E592" s="53"/>
      <c r="F592" s="53"/>
      <c r="G592" s="72"/>
      <c r="H592" s="8"/>
      <c r="I592" s="9" t="s">
        <v>599</v>
      </c>
      <c r="J592" s="56">
        <v>5708800</v>
      </c>
      <c r="K592" s="72"/>
      <c r="M592" s="52"/>
    </row>
    <row r="593" spans="1:13" ht="18.75" customHeight="1" x14ac:dyDescent="0.15">
      <c r="A593" s="7"/>
      <c r="B593" s="7"/>
      <c r="C593" s="7" t="s">
        <v>150</v>
      </c>
      <c r="D593" s="26">
        <v>0</v>
      </c>
      <c r="E593" s="26">
        <v>0</v>
      </c>
      <c r="F593" s="69">
        <f>SUM(J593:J595)</f>
        <v>17146000</v>
      </c>
      <c r="G593" s="75">
        <f>F593-D593</f>
        <v>17146000</v>
      </c>
      <c r="H593" s="10" t="s">
        <v>600</v>
      </c>
      <c r="I593" s="11" t="s">
        <v>601</v>
      </c>
      <c r="J593" s="57">
        <v>13585000</v>
      </c>
      <c r="K593" s="75"/>
      <c r="M593" s="52"/>
    </row>
    <row r="594" spans="1:13" ht="18.75" customHeight="1" x14ac:dyDescent="0.15">
      <c r="A594" s="7"/>
      <c r="B594" s="7"/>
      <c r="C594" s="7"/>
      <c r="D594" s="26"/>
      <c r="E594" s="26"/>
      <c r="F594" s="26"/>
      <c r="G594" s="75"/>
      <c r="H594" s="10" t="s">
        <v>602</v>
      </c>
      <c r="I594" s="11" t="s">
        <v>603</v>
      </c>
      <c r="J594" s="57">
        <v>844000</v>
      </c>
      <c r="K594" s="75"/>
      <c r="M594" s="52"/>
    </row>
    <row r="595" spans="1:13" ht="18.75" customHeight="1" x14ac:dyDescent="0.15">
      <c r="A595" s="7"/>
      <c r="B595" s="7"/>
      <c r="C595" s="6"/>
      <c r="D595" s="53"/>
      <c r="E595" s="53"/>
      <c r="F595" s="53"/>
      <c r="G595" s="72"/>
      <c r="H595" s="8" t="s">
        <v>604</v>
      </c>
      <c r="I595" s="9" t="s">
        <v>605</v>
      </c>
      <c r="J595" s="56">
        <v>2717000</v>
      </c>
      <c r="K595" s="72"/>
      <c r="M595" s="52"/>
    </row>
    <row r="596" spans="1:13" ht="18.75" customHeight="1" x14ac:dyDescent="0.15">
      <c r="A596" s="7"/>
      <c r="B596" s="7"/>
      <c r="C596" s="6" t="s">
        <v>123</v>
      </c>
      <c r="D596" s="53">
        <v>0</v>
      </c>
      <c r="E596" s="53">
        <v>0</v>
      </c>
      <c r="F596" s="51">
        <f>SUM(J596)</f>
        <v>3000000</v>
      </c>
      <c r="G596" s="72">
        <f>F596-D596</f>
        <v>3000000</v>
      </c>
      <c r="H596" s="8" t="s">
        <v>606</v>
      </c>
      <c r="I596" s="9" t="s">
        <v>607</v>
      </c>
      <c r="J596" s="56">
        <v>3000000</v>
      </c>
      <c r="K596" s="72"/>
      <c r="M596" s="52"/>
    </row>
    <row r="597" spans="1:13" ht="18.75" customHeight="1" x14ac:dyDescent="0.15">
      <c r="A597" s="7"/>
      <c r="B597" s="7"/>
      <c r="C597" s="6" t="s">
        <v>145</v>
      </c>
      <c r="D597" s="53">
        <v>0</v>
      </c>
      <c r="E597" s="53">
        <v>0</v>
      </c>
      <c r="F597" s="51">
        <f>SUM(J597)</f>
        <v>399000</v>
      </c>
      <c r="G597" s="72">
        <f>F597-D597</f>
        <v>399000</v>
      </c>
      <c r="H597" s="8" t="s">
        <v>608</v>
      </c>
      <c r="I597" s="9" t="s">
        <v>609</v>
      </c>
      <c r="J597" s="56">
        <v>399000</v>
      </c>
      <c r="K597" s="72"/>
      <c r="M597" s="52"/>
    </row>
    <row r="598" spans="1:13" ht="18.75" customHeight="1" x14ac:dyDescent="0.15">
      <c r="A598" s="7"/>
      <c r="B598" s="7"/>
      <c r="C598" s="7" t="s">
        <v>121</v>
      </c>
      <c r="D598" s="26">
        <v>0</v>
      </c>
      <c r="E598" s="26">
        <v>0</v>
      </c>
      <c r="F598" s="69">
        <f>SUM(J598:J599)</f>
        <v>1548500</v>
      </c>
      <c r="G598" s="75">
        <f>F598-D598</f>
        <v>1548500</v>
      </c>
      <c r="H598" s="10" t="s">
        <v>610</v>
      </c>
      <c r="I598" s="11" t="s">
        <v>611</v>
      </c>
      <c r="J598" s="57">
        <v>1235000</v>
      </c>
      <c r="K598" s="75"/>
      <c r="M598" s="52"/>
    </row>
    <row r="599" spans="1:13" ht="18.75" customHeight="1" x14ac:dyDescent="0.15">
      <c r="A599" s="7"/>
      <c r="B599" s="7"/>
      <c r="C599" s="6"/>
      <c r="D599" s="53"/>
      <c r="E599" s="53"/>
      <c r="F599" s="53"/>
      <c r="G599" s="72"/>
      <c r="H599" s="8" t="s">
        <v>612</v>
      </c>
      <c r="I599" s="9" t="s">
        <v>613</v>
      </c>
      <c r="J599" s="56">
        <v>313500</v>
      </c>
      <c r="K599" s="72"/>
      <c r="M599" s="52"/>
    </row>
    <row r="600" spans="1:13" ht="18.75" customHeight="1" x14ac:dyDescent="0.15">
      <c r="A600" s="6"/>
      <c r="B600" s="6"/>
      <c r="C600" s="6" t="s">
        <v>85</v>
      </c>
      <c r="D600" s="53">
        <v>0</v>
      </c>
      <c r="E600" s="53">
        <v>0</v>
      </c>
      <c r="F600" s="51">
        <f>SUM(J600)</f>
        <v>1000000</v>
      </c>
      <c r="G600" s="72">
        <f>F600-D600</f>
        <v>1000000</v>
      </c>
      <c r="H600" s="8" t="s">
        <v>86</v>
      </c>
      <c r="I600" s="9"/>
      <c r="J600" s="56">
        <v>1000000</v>
      </c>
      <c r="K600" s="72"/>
      <c r="M600" s="52"/>
    </row>
    <row r="601" spans="1:13" ht="20.25" customHeight="1" x14ac:dyDescent="0.15">
      <c r="A601" s="18" t="s">
        <v>139</v>
      </c>
      <c r="B601" s="18" t="s">
        <v>151</v>
      </c>
      <c r="C601" s="12"/>
      <c r="D601" s="51">
        <v>13430000</v>
      </c>
      <c r="E601" s="51">
        <f>SUM(E602:E606)</f>
        <v>9497960</v>
      </c>
      <c r="F601" s="51">
        <f>SUM(F602:F606)</f>
        <v>10183000</v>
      </c>
      <c r="G601" s="74">
        <f>F601-D601</f>
        <v>-3247000</v>
      </c>
      <c r="H601" s="13"/>
      <c r="I601" s="14"/>
      <c r="J601" s="58"/>
      <c r="K601" s="74"/>
      <c r="M601" s="52"/>
    </row>
    <row r="602" spans="1:13" ht="20.25" customHeight="1" x14ac:dyDescent="0.15">
      <c r="A602" s="7"/>
      <c r="B602" s="7" t="s">
        <v>152</v>
      </c>
      <c r="C602" s="6" t="s">
        <v>148</v>
      </c>
      <c r="D602" s="53">
        <v>5980000</v>
      </c>
      <c r="E602" s="53">
        <v>5845500</v>
      </c>
      <c r="F602" s="53">
        <f>SUM(J602)</f>
        <v>5200000</v>
      </c>
      <c r="G602" s="72">
        <f>F602-D602</f>
        <v>-780000</v>
      </c>
      <c r="H602" s="8" t="s">
        <v>142</v>
      </c>
      <c r="I602" s="9" t="s">
        <v>592</v>
      </c>
      <c r="J602" s="56">
        <f>400000*13</f>
        <v>5200000</v>
      </c>
      <c r="K602" s="72"/>
      <c r="M602" s="52"/>
    </row>
    <row r="603" spans="1:13" ht="20.25" customHeight="1" x14ac:dyDescent="0.15">
      <c r="A603" s="7"/>
      <c r="B603" s="7" t="s">
        <v>192</v>
      </c>
      <c r="C603" s="7" t="s">
        <v>150</v>
      </c>
      <c r="D603" s="26">
        <v>2450000</v>
      </c>
      <c r="E603" s="26">
        <v>2655130</v>
      </c>
      <c r="F603" s="26">
        <f>SUM(J603:J604)</f>
        <v>3483000</v>
      </c>
      <c r="G603" s="75">
        <f>F603-D603</f>
        <v>1033000</v>
      </c>
      <c r="H603" s="10" t="s">
        <v>144</v>
      </c>
      <c r="I603" s="11" t="s">
        <v>593</v>
      </c>
      <c r="J603" s="57">
        <f>120*3*5*1350</f>
        <v>2430000</v>
      </c>
      <c r="K603" s="75"/>
      <c r="M603" s="52"/>
    </row>
    <row r="604" spans="1:13" ht="20.25" customHeight="1" x14ac:dyDescent="0.15">
      <c r="A604" s="7"/>
      <c r="B604" s="7"/>
      <c r="C604" s="6"/>
      <c r="D604" s="53"/>
      <c r="E604" s="53"/>
      <c r="F604" s="53"/>
      <c r="G604" s="72"/>
      <c r="H604" s="8" t="s">
        <v>119</v>
      </c>
      <c r="I604" s="9" t="s">
        <v>594</v>
      </c>
      <c r="J604" s="56">
        <f>10*13*6*1350</f>
        <v>1053000</v>
      </c>
      <c r="K604" s="72"/>
      <c r="M604" s="52"/>
    </row>
    <row r="605" spans="1:13" ht="20.25" customHeight="1" x14ac:dyDescent="0.15">
      <c r="A605" s="7"/>
      <c r="B605" s="7"/>
      <c r="C605" s="6" t="s">
        <v>145</v>
      </c>
      <c r="D605" s="53">
        <v>0</v>
      </c>
      <c r="E605" s="53">
        <v>0</v>
      </c>
      <c r="F605" s="51">
        <f>SUM(J605)</f>
        <v>500000</v>
      </c>
      <c r="G605" s="72">
        <f>F605-D605</f>
        <v>500000</v>
      </c>
      <c r="H605" s="8" t="s">
        <v>290</v>
      </c>
      <c r="I605" s="9"/>
      <c r="J605" s="56">
        <v>500000</v>
      </c>
      <c r="K605" s="72"/>
      <c r="M605" s="52"/>
    </row>
    <row r="606" spans="1:13" ht="20.25" customHeight="1" x14ac:dyDescent="0.15">
      <c r="A606" s="7"/>
      <c r="B606" s="6"/>
      <c r="C606" s="6" t="s">
        <v>85</v>
      </c>
      <c r="D606" s="53">
        <v>5000000</v>
      </c>
      <c r="E606" s="53">
        <v>997330</v>
      </c>
      <c r="F606" s="53">
        <f>SUM(J606)</f>
        <v>1000000</v>
      </c>
      <c r="G606" s="72">
        <f>F606-D606</f>
        <v>-4000000</v>
      </c>
      <c r="H606" s="8" t="s">
        <v>86</v>
      </c>
      <c r="I606" s="9"/>
      <c r="J606" s="56">
        <v>1000000</v>
      </c>
      <c r="K606" s="72"/>
      <c r="M606" s="52"/>
    </row>
    <row r="607" spans="1:13" ht="20.25" customHeight="1" x14ac:dyDescent="0.15">
      <c r="A607" s="7"/>
      <c r="B607" s="7" t="s">
        <v>157</v>
      </c>
      <c r="C607" s="7"/>
      <c r="D607" s="51">
        <v>1340000</v>
      </c>
      <c r="E607" s="51">
        <f>SUM(E608:E609)</f>
        <v>1254620</v>
      </c>
      <c r="F607" s="51">
        <f>SUM(F608:F609)</f>
        <v>0</v>
      </c>
      <c r="G607" s="74">
        <f>F607-D607</f>
        <v>-1340000</v>
      </c>
      <c r="H607" s="10"/>
      <c r="I607" s="11"/>
      <c r="J607" s="57"/>
      <c r="K607" s="74"/>
      <c r="M607" s="52"/>
    </row>
    <row r="608" spans="1:13" ht="20.25" customHeight="1" x14ac:dyDescent="0.15">
      <c r="A608" s="7"/>
      <c r="B608" s="7" t="s">
        <v>158</v>
      </c>
      <c r="C608" s="12" t="s">
        <v>150</v>
      </c>
      <c r="D608" s="51">
        <v>840000</v>
      </c>
      <c r="E608" s="51">
        <v>759430</v>
      </c>
      <c r="F608" s="51">
        <f>SUM(J608)</f>
        <v>0</v>
      </c>
      <c r="G608" s="74">
        <f>F608-D608</f>
        <v>-840000</v>
      </c>
      <c r="H608" s="13"/>
      <c r="I608" s="14"/>
      <c r="J608" s="58"/>
      <c r="K608" s="74"/>
      <c r="M608" s="52"/>
    </row>
    <row r="609" spans="1:13" ht="20.25" customHeight="1" x14ac:dyDescent="0.15">
      <c r="A609" s="7"/>
      <c r="B609" s="6"/>
      <c r="C609" s="12" t="s">
        <v>85</v>
      </c>
      <c r="D609" s="51">
        <v>500000</v>
      </c>
      <c r="E609" s="51">
        <v>495190</v>
      </c>
      <c r="F609" s="51">
        <f>SUM(J609)</f>
        <v>0</v>
      </c>
      <c r="G609" s="74">
        <f>F609-D609</f>
        <v>-500000</v>
      </c>
      <c r="H609" s="13"/>
      <c r="I609" s="14"/>
      <c r="J609" s="58"/>
      <c r="K609" s="74"/>
      <c r="M609" s="52"/>
    </row>
    <row r="610" spans="1:13" ht="20.25" customHeight="1" x14ac:dyDescent="0.15">
      <c r="A610" s="7"/>
      <c r="B610" s="7" t="s">
        <v>348</v>
      </c>
      <c r="C610" s="54"/>
      <c r="D610" s="88">
        <v>10150000</v>
      </c>
      <c r="E610" s="88">
        <f>SUM(E611:E614)</f>
        <v>11742084</v>
      </c>
      <c r="F610" s="88">
        <f>SUM(F611:F614)</f>
        <v>0</v>
      </c>
      <c r="G610" s="72">
        <f>SUM(G611:G614)</f>
        <v>-10150000</v>
      </c>
      <c r="H610" s="30"/>
      <c r="I610" s="21"/>
      <c r="J610" s="65"/>
      <c r="K610" s="72"/>
      <c r="M610" s="52"/>
    </row>
    <row r="611" spans="1:13" ht="20.25" customHeight="1" x14ac:dyDescent="0.15">
      <c r="A611" s="7"/>
      <c r="B611" s="7" t="s">
        <v>254</v>
      </c>
      <c r="C611" s="12" t="s">
        <v>148</v>
      </c>
      <c r="D611" s="53">
        <v>3600000</v>
      </c>
      <c r="E611" s="53">
        <v>3403500</v>
      </c>
      <c r="F611" s="93">
        <f>SUM(J611)</f>
        <v>0</v>
      </c>
      <c r="G611" s="74">
        <f t="shared" ref="G611:G625" si="21">F611-D611</f>
        <v>-3600000</v>
      </c>
      <c r="H611" s="107" t="s">
        <v>249</v>
      </c>
      <c r="I611" s="19" t="s">
        <v>255</v>
      </c>
      <c r="J611" s="106"/>
      <c r="K611" s="74"/>
      <c r="M611" s="52"/>
    </row>
    <row r="612" spans="1:13" ht="20.25" customHeight="1" x14ac:dyDescent="0.15">
      <c r="A612" s="7"/>
      <c r="B612" s="7"/>
      <c r="C612" s="12" t="s">
        <v>150</v>
      </c>
      <c r="D612" s="51">
        <v>5400000</v>
      </c>
      <c r="E612" s="51">
        <v>7497746</v>
      </c>
      <c r="F612" s="93">
        <f>SUM(J612:J612)</f>
        <v>0</v>
      </c>
      <c r="G612" s="74">
        <f t="shared" si="21"/>
        <v>-5400000</v>
      </c>
      <c r="H612" s="107" t="s">
        <v>252</v>
      </c>
      <c r="I612" s="19" t="s">
        <v>257</v>
      </c>
      <c r="J612" s="106"/>
      <c r="K612" s="74"/>
      <c r="M612" s="52"/>
    </row>
    <row r="613" spans="1:13" ht="20.25" customHeight="1" x14ac:dyDescent="0.15">
      <c r="A613" s="7"/>
      <c r="B613" s="7"/>
      <c r="C613" s="6" t="s">
        <v>145</v>
      </c>
      <c r="D613" s="53">
        <v>150000</v>
      </c>
      <c r="E613" s="53">
        <v>0</v>
      </c>
      <c r="F613" s="88">
        <f>SUM(J613)</f>
        <v>0</v>
      </c>
      <c r="G613" s="72">
        <f t="shared" si="21"/>
        <v>-150000</v>
      </c>
      <c r="H613" s="30"/>
      <c r="I613" s="21"/>
      <c r="J613" s="65"/>
      <c r="K613" s="72"/>
      <c r="M613" s="52"/>
    </row>
    <row r="614" spans="1:13" ht="20.25" customHeight="1" x14ac:dyDescent="0.15">
      <c r="A614" s="7"/>
      <c r="B614" s="6"/>
      <c r="C614" s="12" t="s">
        <v>85</v>
      </c>
      <c r="D614" s="51">
        <v>1000000</v>
      </c>
      <c r="E614" s="51">
        <v>840838</v>
      </c>
      <c r="F614" s="93">
        <f>SUM(J614)</f>
        <v>0</v>
      </c>
      <c r="G614" s="74">
        <f t="shared" si="21"/>
        <v>-1000000</v>
      </c>
      <c r="H614" s="107"/>
      <c r="I614" s="19"/>
      <c r="J614" s="106"/>
      <c r="K614" s="74"/>
      <c r="M614" s="52"/>
    </row>
    <row r="615" spans="1:13" ht="20.25" customHeight="1" x14ac:dyDescent="0.15">
      <c r="A615" s="7"/>
      <c r="B615" s="7" t="s">
        <v>345</v>
      </c>
      <c r="C615" s="54"/>
      <c r="D615" s="88">
        <v>22000000</v>
      </c>
      <c r="E615" s="88">
        <f>SUM(E616:E625)</f>
        <v>78424125</v>
      </c>
      <c r="F615" s="88">
        <f>SUM(F616:F625)</f>
        <v>0</v>
      </c>
      <c r="G615" s="72">
        <f t="shared" si="21"/>
        <v>-22000000</v>
      </c>
      <c r="H615" s="30"/>
      <c r="I615" s="21"/>
      <c r="J615" s="65"/>
      <c r="K615" s="72"/>
      <c r="M615" s="52"/>
    </row>
    <row r="616" spans="1:13" ht="20.25" customHeight="1" x14ac:dyDescent="0.15">
      <c r="A616" s="7"/>
      <c r="B616" s="7" t="s">
        <v>247</v>
      </c>
      <c r="C616" s="12" t="s">
        <v>248</v>
      </c>
      <c r="D616" s="93">
        <v>6000000</v>
      </c>
      <c r="E616" s="93">
        <v>16281700</v>
      </c>
      <c r="F616" s="93">
        <v>0</v>
      </c>
      <c r="G616" s="74">
        <f t="shared" si="21"/>
        <v>-6000000</v>
      </c>
      <c r="H616" s="107" t="s">
        <v>249</v>
      </c>
      <c r="I616" s="19" t="s">
        <v>250</v>
      </c>
      <c r="J616" s="106"/>
      <c r="K616" s="74"/>
      <c r="M616" s="52"/>
    </row>
    <row r="617" spans="1:13" ht="20.25" customHeight="1" x14ac:dyDescent="0.15">
      <c r="A617" s="7"/>
      <c r="B617" s="7"/>
      <c r="C617" s="54" t="s">
        <v>251</v>
      </c>
      <c r="D617" s="88">
        <v>6000000</v>
      </c>
      <c r="E617" s="88">
        <v>23676262</v>
      </c>
      <c r="F617" s="93">
        <v>0</v>
      </c>
      <c r="G617" s="74">
        <f t="shared" si="21"/>
        <v>-6000000</v>
      </c>
      <c r="H617" s="30" t="s">
        <v>252</v>
      </c>
      <c r="I617" s="21" t="s">
        <v>253</v>
      </c>
      <c r="J617" s="65"/>
      <c r="K617" s="74"/>
      <c r="M617" s="52"/>
    </row>
    <row r="618" spans="1:13" ht="20.25" customHeight="1" x14ac:dyDescent="0.15">
      <c r="A618" s="7"/>
      <c r="B618" s="7"/>
      <c r="C618" s="54" t="s">
        <v>790</v>
      </c>
      <c r="D618" s="88">
        <v>0</v>
      </c>
      <c r="E618" s="88">
        <v>13371900</v>
      </c>
      <c r="F618" s="93">
        <v>0</v>
      </c>
      <c r="G618" s="51">
        <f t="shared" si="21"/>
        <v>0</v>
      </c>
      <c r="H618" s="30"/>
      <c r="I618" s="21"/>
      <c r="J618" s="65"/>
      <c r="K618" s="74"/>
      <c r="M618" s="52"/>
    </row>
    <row r="619" spans="1:13" ht="20.25" customHeight="1" x14ac:dyDescent="0.15">
      <c r="A619" s="7"/>
      <c r="B619" s="7"/>
      <c r="C619" s="54" t="s">
        <v>243</v>
      </c>
      <c r="D619" s="88">
        <v>5000000</v>
      </c>
      <c r="E619" s="88">
        <v>2425220</v>
      </c>
      <c r="F619" s="93">
        <v>0</v>
      </c>
      <c r="G619" s="74">
        <f t="shared" si="21"/>
        <v>-5000000</v>
      </c>
      <c r="H619" s="30" t="s">
        <v>242</v>
      </c>
      <c r="I619" s="21"/>
      <c r="J619" s="65"/>
      <c r="K619" s="74"/>
      <c r="M619" s="52"/>
    </row>
    <row r="620" spans="1:13" ht="20.25" customHeight="1" x14ac:dyDescent="0.15">
      <c r="A620" s="7"/>
      <c r="B620" s="7"/>
      <c r="C620" s="54" t="s">
        <v>145</v>
      </c>
      <c r="D620" s="88">
        <v>0</v>
      </c>
      <c r="E620" s="88">
        <v>1355000</v>
      </c>
      <c r="F620" s="93">
        <v>0</v>
      </c>
      <c r="G620" s="51">
        <f t="shared" si="21"/>
        <v>0</v>
      </c>
      <c r="H620" s="30"/>
      <c r="I620" s="21"/>
      <c r="J620" s="65"/>
      <c r="K620" s="74"/>
      <c r="M620" s="52"/>
    </row>
    <row r="621" spans="1:13" ht="20.25" customHeight="1" x14ac:dyDescent="0.15">
      <c r="A621" s="7"/>
      <c r="B621" s="7"/>
      <c r="C621" s="54" t="s">
        <v>791</v>
      </c>
      <c r="D621" s="88">
        <v>0</v>
      </c>
      <c r="E621" s="88">
        <v>286320</v>
      </c>
      <c r="F621" s="93">
        <v>0</v>
      </c>
      <c r="G621" s="51">
        <f t="shared" si="21"/>
        <v>0</v>
      </c>
      <c r="H621" s="30"/>
      <c r="I621" s="21"/>
      <c r="J621" s="65"/>
      <c r="K621" s="74"/>
      <c r="M621" s="52"/>
    </row>
    <row r="622" spans="1:13" ht="20.25" customHeight="1" x14ac:dyDescent="0.15">
      <c r="A622" s="7"/>
      <c r="B622" s="7"/>
      <c r="C622" s="54" t="s">
        <v>792</v>
      </c>
      <c r="D622" s="88">
        <v>0</v>
      </c>
      <c r="E622" s="88">
        <v>3229040</v>
      </c>
      <c r="F622" s="93">
        <v>0</v>
      </c>
      <c r="G622" s="51">
        <f t="shared" si="21"/>
        <v>0</v>
      </c>
      <c r="H622" s="30"/>
      <c r="I622" s="21"/>
      <c r="J622" s="65"/>
      <c r="K622" s="74"/>
      <c r="M622" s="52"/>
    </row>
    <row r="623" spans="1:13" ht="20.25" customHeight="1" x14ac:dyDescent="0.15">
      <c r="A623" s="7"/>
      <c r="B623" s="7"/>
      <c r="C623" s="54" t="s">
        <v>793</v>
      </c>
      <c r="D623" s="88">
        <v>0</v>
      </c>
      <c r="E623" s="88">
        <v>8899200</v>
      </c>
      <c r="F623" s="93">
        <v>0</v>
      </c>
      <c r="G623" s="51">
        <f t="shared" si="21"/>
        <v>0</v>
      </c>
      <c r="H623" s="30"/>
      <c r="I623" s="21"/>
      <c r="J623" s="65"/>
      <c r="K623" s="74"/>
      <c r="M623" s="52"/>
    </row>
    <row r="624" spans="1:13" ht="20.25" customHeight="1" x14ac:dyDescent="0.15">
      <c r="A624" s="7"/>
      <c r="B624" s="7"/>
      <c r="C624" s="54" t="s">
        <v>794</v>
      </c>
      <c r="D624" s="88">
        <v>0</v>
      </c>
      <c r="E624" s="88">
        <v>288000</v>
      </c>
      <c r="F624" s="93">
        <v>0</v>
      </c>
      <c r="G624" s="51">
        <f t="shared" si="21"/>
        <v>0</v>
      </c>
      <c r="H624" s="30"/>
      <c r="I624" s="21"/>
      <c r="J624" s="65"/>
      <c r="K624" s="74"/>
      <c r="M624" s="52"/>
    </row>
    <row r="625" spans="1:13" ht="20.25" customHeight="1" x14ac:dyDescent="0.15">
      <c r="A625" s="6"/>
      <c r="B625" s="6"/>
      <c r="C625" s="54" t="s">
        <v>190</v>
      </c>
      <c r="D625" s="88">
        <v>5000000</v>
      </c>
      <c r="E625" s="88">
        <v>8611483</v>
      </c>
      <c r="F625" s="93">
        <v>0</v>
      </c>
      <c r="G625" s="74">
        <f t="shared" si="21"/>
        <v>-5000000</v>
      </c>
      <c r="H625" s="30"/>
      <c r="I625" s="21"/>
      <c r="J625" s="65"/>
      <c r="K625" s="74"/>
      <c r="M625" s="52"/>
    </row>
    <row r="626" spans="1:13" ht="23.25" customHeight="1" x14ac:dyDescent="0.15">
      <c r="A626" s="18" t="s">
        <v>139</v>
      </c>
      <c r="B626" s="7" t="s">
        <v>795</v>
      </c>
      <c r="C626" s="54"/>
      <c r="D626" s="88">
        <v>0</v>
      </c>
      <c r="E626" s="88">
        <f>SUM(E627:E629)</f>
        <v>2855638</v>
      </c>
      <c r="F626" s="88">
        <f>SUM(F627:F629)</f>
        <v>0</v>
      </c>
      <c r="G626" s="51">
        <f>F626-D626</f>
        <v>0</v>
      </c>
      <c r="H626" s="30"/>
      <c r="I626" s="21"/>
      <c r="J626" s="65"/>
      <c r="K626" s="74"/>
      <c r="M626" s="52"/>
    </row>
    <row r="627" spans="1:13" ht="23.25" customHeight="1" x14ac:dyDescent="0.15">
      <c r="A627" s="7"/>
      <c r="B627" s="7" t="s">
        <v>796</v>
      </c>
      <c r="C627" s="54" t="s">
        <v>148</v>
      </c>
      <c r="D627" s="88">
        <v>0</v>
      </c>
      <c r="E627" s="88">
        <v>107000</v>
      </c>
      <c r="F627" s="93">
        <v>0</v>
      </c>
      <c r="G627" s="51">
        <f t="shared" ref="G627:G641" si="22">F627-D627</f>
        <v>0</v>
      </c>
      <c r="H627" s="30"/>
      <c r="I627" s="21"/>
      <c r="J627" s="65"/>
      <c r="K627" s="74"/>
      <c r="M627" s="52"/>
    </row>
    <row r="628" spans="1:13" ht="23.25" customHeight="1" x14ac:dyDescent="0.15">
      <c r="A628" s="7"/>
      <c r="B628" s="7"/>
      <c r="C628" s="54" t="s">
        <v>37</v>
      </c>
      <c r="D628" s="88">
        <v>0</v>
      </c>
      <c r="E628" s="88">
        <v>1182020</v>
      </c>
      <c r="F628" s="93">
        <v>0</v>
      </c>
      <c r="G628" s="51">
        <f t="shared" si="22"/>
        <v>0</v>
      </c>
      <c r="H628" s="30"/>
      <c r="I628" s="21"/>
      <c r="J628" s="65"/>
      <c r="K628" s="74"/>
      <c r="M628" s="52"/>
    </row>
    <row r="629" spans="1:13" ht="23.25" customHeight="1" x14ac:dyDescent="0.15">
      <c r="A629" s="7"/>
      <c r="B629" s="7"/>
      <c r="C629" s="54" t="s">
        <v>85</v>
      </c>
      <c r="D629" s="88">
        <v>0</v>
      </c>
      <c r="E629" s="88">
        <v>1566618</v>
      </c>
      <c r="F629" s="93">
        <v>0</v>
      </c>
      <c r="G629" s="51">
        <f t="shared" si="22"/>
        <v>0</v>
      </c>
      <c r="H629" s="30"/>
      <c r="I629" s="21"/>
      <c r="J629" s="65"/>
      <c r="K629" s="74"/>
      <c r="M629" s="52"/>
    </row>
    <row r="630" spans="1:13" ht="23.25" customHeight="1" x14ac:dyDescent="0.15">
      <c r="A630" s="7"/>
      <c r="B630" s="7" t="s">
        <v>797</v>
      </c>
      <c r="C630" s="54"/>
      <c r="D630" s="88">
        <v>0</v>
      </c>
      <c r="E630" s="88">
        <f>E631</f>
        <v>337970</v>
      </c>
      <c r="F630" s="93">
        <v>0</v>
      </c>
      <c r="G630" s="51">
        <f t="shared" si="22"/>
        <v>0</v>
      </c>
      <c r="H630" s="30"/>
      <c r="I630" s="21"/>
      <c r="J630" s="65"/>
      <c r="K630" s="74"/>
      <c r="M630" s="52"/>
    </row>
    <row r="631" spans="1:13" ht="23.25" customHeight="1" x14ac:dyDescent="0.15">
      <c r="A631" s="7"/>
      <c r="B631" s="6"/>
      <c r="C631" s="54" t="s">
        <v>148</v>
      </c>
      <c r="D631" s="88">
        <v>0</v>
      </c>
      <c r="E631" s="88">
        <v>337970</v>
      </c>
      <c r="F631" s="93">
        <v>0</v>
      </c>
      <c r="G631" s="51">
        <f t="shared" si="22"/>
        <v>0</v>
      </c>
      <c r="H631" s="30"/>
      <c r="I631" s="21"/>
      <c r="J631" s="65"/>
      <c r="K631" s="74"/>
      <c r="M631" s="52"/>
    </row>
    <row r="632" spans="1:13" ht="23.25" customHeight="1" x14ac:dyDescent="0.15">
      <c r="A632" s="7"/>
      <c r="B632" s="7" t="s">
        <v>798</v>
      </c>
      <c r="C632" s="54"/>
      <c r="D632" s="88">
        <v>0</v>
      </c>
      <c r="E632" s="88">
        <f>SUM(E633:E634)</f>
        <v>3810000</v>
      </c>
      <c r="F632" s="93">
        <v>0</v>
      </c>
      <c r="G632" s="51">
        <f t="shared" si="22"/>
        <v>0</v>
      </c>
      <c r="H632" s="30"/>
      <c r="I632" s="21"/>
      <c r="J632" s="65"/>
      <c r="K632" s="74"/>
      <c r="M632" s="52"/>
    </row>
    <row r="633" spans="1:13" ht="23.25" customHeight="1" x14ac:dyDescent="0.15">
      <c r="A633" s="7"/>
      <c r="B633" s="7"/>
      <c r="C633" s="54" t="s">
        <v>793</v>
      </c>
      <c r="D633" s="88">
        <v>0</v>
      </c>
      <c r="E633" s="88">
        <v>2310000</v>
      </c>
      <c r="F633" s="93">
        <v>0</v>
      </c>
      <c r="G633" s="51">
        <f t="shared" si="22"/>
        <v>0</v>
      </c>
      <c r="H633" s="30"/>
      <c r="I633" s="21"/>
      <c r="J633" s="65"/>
      <c r="K633" s="74"/>
      <c r="M633" s="52"/>
    </row>
    <row r="634" spans="1:13" ht="23.25" customHeight="1" x14ac:dyDescent="0.15">
      <c r="A634" s="7"/>
      <c r="B634" s="6"/>
      <c r="C634" s="54" t="s">
        <v>85</v>
      </c>
      <c r="D634" s="88">
        <v>0</v>
      </c>
      <c r="E634" s="88">
        <v>1500000</v>
      </c>
      <c r="F634" s="93">
        <v>0</v>
      </c>
      <c r="G634" s="51">
        <f t="shared" si="22"/>
        <v>0</v>
      </c>
      <c r="H634" s="30"/>
      <c r="I634" s="21"/>
      <c r="J634" s="65"/>
      <c r="K634" s="74"/>
      <c r="M634" s="52"/>
    </row>
    <row r="635" spans="1:13" ht="23.25" customHeight="1" x14ac:dyDescent="0.15">
      <c r="A635" s="7"/>
      <c r="B635" s="7" t="s">
        <v>799</v>
      </c>
      <c r="C635" s="54"/>
      <c r="D635" s="88">
        <v>0</v>
      </c>
      <c r="E635" s="88">
        <f>SUM(E636:E641)</f>
        <v>2303800</v>
      </c>
      <c r="F635" s="93">
        <v>0</v>
      </c>
      <c r="G635" s="51">
        <f t="shared" si="22"/>
        <v>0</v>
      </c>
      <c r="H635" s="30"/>
      <c r="I635" s="21"/>
      <c r="J635" s="65"/>
      <c r="K635" s="74"/>
      <c r="M635" s="52"/>
    </row>
    <row r="636" spans="1:13" ht="23.25" customHeight="1" x14ac:dyDescent="0.15">
      <c r="A636" s="7"/>
      <c r="B636" s="7"/>
      <c r="C636" s="54" t="s">
        <v>148</v>
      </c>
      <c r="D636" s="88">
        <v>0</v>
      </c>
      <c r="E636" s="88">
        <v>1003800</v>
      </c>
      <c r="F636" s="93">
        <v>0</v>
      </c>
      <c r="G636" s="51">
        <f t="shared" si="22"/>
        <v>0</v>
      </c>
      <c r="H636" s="30"/>
      <c r="I636" s="21"/>
      <c r="J636" s="65"/>
      <c r="K636" s="74"/>
      <c r="M636" s="52"/>
    </row>
    <row r="637" spans="1:13" ht="23.25" customHeight="1" x14ac:dyDescent="0.15">
      <c r="A637" s="7"/>
      <c r="B637" s="7"/>
      <c r="C637" s="54" t="s">
        <v>150</v>
      </c>
      <c r="D637" s="88">
        <v>0</v>
      </c>
      <c r="E637" s="88">
        <v>720839</v>
      </c>
      <c r="F637" s="93">
        <v>0</v>
      </c>
      <c r="G637" s="51">
        <f t="shared" si="22"/>
        <v>0</v>
      </c>
      <c r="H637" s="30"/>
      <c r="I637" s="21"/>
      <c r="J637" s="65"/>
      <c r="K637" s="74"/>
      <c r="M637" s="52"/>
    </row>
    <row r="638" spans="1:13" ht="23.25" customHeight="1" x14ac:dyDescent="0.15">
      <c r="A638" s="7"/>
      <c r="B638" s="7"/>
      <c r="C638" s="54" t="s">
        <v>145</v>
      </c>
      <c r="D638" s="88">
        <v>0</v>
      </c>
      <c r="E638" s="88">
        <v>275000</v>
      </c>
      <c r="F638" s="93">
        <v>0</v>
      </c>
      <c r="G638" s="51">
        <f t="shared" si="22"/>
        <v>0</v>
      </c>
      <c r="H638" s="30"/>
      <c r="I638" s="21"/>
      <c r="J638" s="65"/>
      <c r="K638" s="74"/>
      <c r="M638" s="52"/>
    </row>
    <row r="639" spans="1:13" ht="23.25" customHeight="1" x14ac:dyDescent="0.15">
      <c r="A639" s="7"/>
      <c r="B639" s="7"/>
      <c r="C639" s="54" t="s">
        <v>792</v>
      </c>
      <c r="D639" s="88">
        <v>0</v>
      </c>
      <c r="E639" s="88">
        <v>205000</v>
      </c>
      <c r="F639" s="93">
        <v>0</v>
      </c>
      <c r="G639" s="51">
        <f t="shared" si="22"/>
        <v>0</v>
      </c>
      <c r="H639" s="30"/>
      <c r="I639" s="21"/>
      <c r="J639" s="65"/>
      <c r="K639" s="74"/>
      <c r="M639" s="52"/>
    </row>
    <row r="640" spans="1:13" ht="23.25" customHeight="1" x14ac:dyDescent="0.15">
      <c r="A640" s="7"/>
      <c r="B640" s="7"/>
      <c r="C640" s="54" t="s">
        <v>37</v>
      </c>
      <c r="D640" s="88">
        <v>0</v>
      </c>
      <c r="E640" s="88">
        <v>38280</v>
      </c>
      <c r="F640" s="93">
        <v>0</v>
      </c>
      <c r="G640" s="51">
        <f t="shared" si="22"/>
        <v>0</v>
      </c>
      <c r="H640" s="30"/>
      <c r="I640" s="21"/>
      <c r="J640" s="65"/>
      <c r="K640" s="74"/>
      <c r="M640" s="52"/>
    </row>
    <row r="641" spans="1:13" ht="23.25" customHeight="1" x14ac:dyDescent="0.15">
      <c r="A641" s="7"/>
      <c r="B641" s="6"/>
      <c r="C641" s="54" t="s">
        <v>85</v>
      </c>
      <c r="D641" s="88">
        <v>0</v>
      </c>
      <c r="E641" s="88">
        <v>60881</v>
      </c>
      <c r="F641" s="93">
        <v>0</v>
      </c>
      <c r="G641" s="51">
        <f t="shared" si="22"/>
        <v>0</v>
      </c>
      <c r="H641" s="30"/>
      <c r="I641" s="21"/>
      <c r="J641" s="65"/>
      <c r="K641" s="74"/>
      <c r="M641" s="52"/>
    </row>
    <row r="642" spans="1:13" ht="23.25" customHeight="1" x14ac:dyDescent="0.15">
      <c r="A642" s="7"/>
      <c r="B642" s="7" t="s">
        <v>408</v>
      </c>
      <c r="C642" s="54"/>
      <c r="D642" s="88">
        <f>SUM(D643:D644)</f>
        <v>0</v>
      </c>
      <c r="E642" s="93">
        <f>SUM(E643:E644)</f>
        <v>0</v>
      </c>
      <c r="F642" s="93">
        <f>SUM(F643:F644)</f>
        <v>1140000</v>
      </c>
      <c r="G642" s="93">
        <f>SUM(G643:G644)</f>
        <v>1140000</v>
      </c>
      <c r="H642" s="30"/>
      <c r="I642" s="21"/>
      <c r="J642" s="65"/>
      <c r="K642" s="93"/>
      <c r="M642" s="52"/>
    </row>
    <row r="643" spans="1:13" ht="23.25" customHeight="1" x14ac:dyDescent="0.15">
      <c r="A643" s="7"/>
      <c r="B643" s="7" t="s">
        <v>409</v>
      </c>
      <c r="C643" s="12" t="s">
        <v>148</v>
      </c>
      <c r="D643" s="93">
        <v>0</v>
      </c>
      <c r="E643" s="93">
        <v>0</v>
      </c>
      <c r="F643" s="93">
        <f>SUM(J643)</f>
        <v>600000</v>
      </c>
      <c r="G643" s="74">
        <f>F643-D643</f>
        <v>600000</v>
      </c>
      <c r="H643" s="107" t="s">
        <v>142</v>
      </c>
      <c r="I643" s="19" t="s">
        <v>410</v>
      </c>
      <c r="J643" s="106">
        <v>600000</v>
      </c>
      <c r="K643" s="74"/>
      <c r="M643" s="52"/>
    </row>
    <row r="644" spans="1:13" ht="23.25" customHeight="1" x14ac:dyDescent="0.15">
      <c r="A644" s="7"/>
      <c r="B644" s="6"/>
      <c r="C644" s="54" t="s">
        <v>31</v>
      </c>
      <c r="D644" s="88">
        <v>0</v>
      </c>
      <c r="E644" s="88">
        <v>0</v>
      </c>
      <c r="F644" s="88">
        <f>SUM(J644)</f>
        <v>540000</v>
      </c>
      <c r="G644" s="72">
        <f>F644-D644</f>
        <v>540000</v>
      </c>
      <c r="H644" s="30" t="s">
        <v>411</v>
      </c>
      <c r="I644" s="21" t="s">
        <v>412</v>
      </c>
      <c r="J644" s="65">
        <f>80*1*5*1350</f>
        <v>540000</v>
      </c>
      <c r="K644" s="72"/>
      <c r="M644" s="52"/>
    </row>
    <row r="645" spans="1:13" ht="23.25" customHeight="1" x14ac:dyDescent="0.15">
      <c r="A645" s="7"/>
      <c r="B645" s="7" t="s">
        <v>408</v>
      </c>
      <c r="C645" s="101"/>
      <c r="D645" s="102">
        <f>SUM(D646:D647)</f>
        <v>0</v>
      </c>
      <c r="E645" s="105">
        <f>SUM(E646:E647)</f>
        <v>0</v>
      </c>
      <c r="F645" s="105">
        <f>SUM(F646:F647)</f>
        <v>2540000</v>
      </c>
      <c r="G645" s="105">
        <f>SUM(G646:G647)</f>
        <v>2540000</v>
      </c>
      <c r="H645" s="29"/>
      <c r="I645" s="20"/>
      <c r="J645" s="64"/>
      <c r="K645" s="105"/>
      <c r="M645" s="52"/>
    </row>
    <row r="646" spans="1:13" ht="23.25" customHeight="1" x14ac:dyDescent="0.15">
      <c r="A646" s="7"/>
      <c r="B646" s="7" t="s">
        <v>413</v>
      </c>
      <c r="C646" s="12" t="s">
        <v>148</v>
      </c>
      <c r="D646" s="93">
        <v>0</v>
      </c>
      <c r="E646" s="93">
        <v>0</v>
      </c>
      <c r="F646" s="93">
        <f>J646</f>
        <v>2000000</v>
      </c>
      <c r="G646" s="74">
        <f>F646-D646</f>
        <v>2000000</v>
      </c>
      <c r="H646" s="107" t="s">
        <v>142</v>
      </c>
      <c r="I646" s="19" t="s">
        <v>414</v>
      </c>
      <c r="J646" s="106">
        <v>2000000</v>
      </c>
      <c r="K646" s="74"/>
      <c r="M646" s="52"/>
    </row>
    <row r="647" spans="1:13" ht="23.25" customHeight="1" x14ac:dyDescent="0.15">
      <c r="A647" s="6"/>
      <c r="B647" s="6"/>
      <c r="C647" s="6" t="s">
        <v>31</v>
      </c>
      <c r="D647" s="88">
        <v>0</v>
      </c>
      <c r="E647" s="88">
        <v>0</v>
      </c>
      <c r="F647" s="88">
        <f>J647</f>
        <v>540000</v>
      </c>
      <c r="G647" s="74">
        <f>F647-D647</f>
        <v>540000</v>
      </c>
      <c r="H647" s="30" t="s">
        <v>411</v>
      </c>
      <c r="I647" s="21" t="s">
        <v>412</v>
      </c>
      <c r="J647" s="65">
        <f>80*1*5*1350</f>
        <v>540000</v>
      </c>
      <c r="K647" s="74"/>
      <c r="M647" s="52"/>
    </row>
    <row r="648" spans="1:13" ht="18.75" customHeight="1" x14ac:dyDescent="0.15">
      <c r="A648" s="18" t="s">
        <v>159</v>
      </c>
      <c r="B648" s="12"/>
      <c r="C648" s="12"/>
      <c r="D648" s="51">
        <v>200320000</v>
      </c>
      <c r="E648" s="51">
        <f>E649+E697</f>
        <v>225825809</v>
      </c>
      <c r="F648" s="51">
        <f>F649+F697</f>
        <v>320562000</v>
      </c>
      <c r="G648" s="51">
        <f>G649+G697</f>
        <v>120242000</v>
      </c>
      <c r="H648" s="98"/>
      <c r="I648" s="14"/>
      <c r="J648" s="58"/>
      <c r="K648" s="51"/>
      <c r="M648" s="52"/>
    </row>
    <row r="649" spans="1:13" ht="18.75" customHeight="1" x14ac:dyDescent="0.15">
      <c r="A649" s="7" t="s">
        <v>160</v>
      </c>
      <c r="B649" s="7" t="s">
        <v>161</v>
      </c>
      <c r="C649" s="6"/>
      <c r="D649" s="51">
        <v>200320000</v>
      </c>
      <c r="E649" s="51">
        <f>SUM(E650:E696)</f>
        <v>225825809</v>
      </c>
      <c r="F649" s="51">
        <f>SUM(F650:F696)</f>
        <v>314562000</v>
      </c>
      <c r="G649" s="74">
        <f>F649-D649</f>
        <v>114242000</v>
      </c>
      <c r="H649" s="8"/>
      <c r="I649" s="9"/>
      <c r="J649" s="56"/>
      <c r="K649" s="74"/>
      <c r="M649" s="52"/>
    </row>
    <row r="650" spans="1:13" ht="18.75" customHeight="1" x14ac:dyDescent="0.15">
      <c r="A650" s="7"/>
      <c r="B650" s="7" t="s">
        <v>162</v>
      </c>
      <c r="C650" s="7" t="s">
        <v>71</v>
      </c>
      <c r="D650" s="26">
        <v>102760000</v>
      </c>
      <c r="E650" s="26">
        <v>130514000</v>
      </c>
      <c r="F650" s="26">
        <f>SUM(J650:J652)</f>
        <v>166888000</v>
      </c>
      <c r="G650" s="75">
        <f>F650-D650</f>
        <v>64128000</v>
      </c>
      <c r="H650" s="24" t="s">
        <v>163</v>
      </c>
      <c r="I650" s="11" t="s">
        <v>664</v>
      </c>
      <c r="J650" s="57">
        <f>122000*1350</f>
        <v>164700000</v>
      </c>
      <c r="K650" s="75"/>
      <c r="M650" s="52"/>
    </row>
    <row r="651" spans="1:13" ht="18.75" customHeight="1" x14ac:dyDescent="0.15">
      <c r="A651" s="7"/>
      <c r="B651" s="7"/>
      <c r="C651" s="7"/>
      <c r="D651" s="26"/>
      <c r="E651" s="26"/>
      <c r="F651" s="26"/>
      <c r="G651" s="75"/>
      <c r="H651" s="24" t="s">
        <v>216</v>
      </c>
      <c r="I651" s="11" t="s">
        <v>665</v>
      </c>
      <c r="J651" s="57">
        <f>198000*6</f>
        <v>1188000</v>
      </c>
      <c r="K651" s="75"/>
      <c r="M651" s="52"/>
    </row>
    <row r="652" spans="1:13" ht="18.75" customHeight="1" x14ac:dyDescent="0.15">
      <c r="A652" s="7"/>
      <c r="B652" s="7"/>
      <c r="C652" s="6"/>
      <c r="D652" s="53"/>
      <c r="E652" s="53"/>
      <c r="F652" s="53"/>
      <c r="G652" s="72"/>
      <c r="H652" s="8" t="s">
        <v>164</v>
      </c>
      <c r="I652" s="9"/>
      <c r="J652" s="56">
        <v>1000000</v>
      </c>
      <c r="K652" s="72"/>
      <c r="M652" s="52"/>
    </row>
    <row r="653" spans="1:13" ht="18.75" customHeight="1" x14ac:dyDescent="0.15">
      <c r="A653" s="7"/>
      <c r="B653" s="7"/>
      <c r="C653" s="7" t="s">
        <v>150</v>
      </c>
      <c r="D653" s="26">
        <v>11000000</v>
      </c>
      <c r="E653" s="26">
        <v>6831000</v>
      </c>
      <c r="F653" s="26">
        <f>SUM(J653:J655)</f>
        <v>15000000</v>
      </c>
      <c r="G653" s="75">
        <f>F653-D653</f>
        <v>4000000</v>
      </c>
      <c r="H653" s="10" t="s">
        <v>666</v>
      </c>
      <c r="I653" s="20" t="s">
        <v>667</v>
      </c>
      <c r="J653" s="57">
        <f>100000*25*5</f>
        <v>12500000</v>
      </c>
      <c r="K653" s="75"/>
      <c r="M653" s="52"/>
    </row>
    <row r="654" spans="1:13" ht="18.75" customHeight="1" x14ac:dyDescent="0.15">
      <c r="A654" s="7"/>
      <c r="B654" s="7"/>
      <c r="C654" s="7"/>
      <c r="D654" s="26"/>
      <c r="E654" s="26"/>
      <c r="F654" s="26"/>
      <c r="G654" s="75"/>
      <c r="H654" s="10" t="s">
        <v>165</v>
      </c>
      <c r="I654" s="20" t="s">
        <v>668</v>
      </c>
      <c r="J654" s="57">
        <f>4000*25*5</f>
        <v>500000</v>
      </c>
      <c r="K654" s="75"/>
      <c r="M654" s="52"/>
    </row>
    <row r="655" spans="1:13" ht="18.75" customHeight="1" x14ac:dyDescent="0.15">
      <c r="A655" s="7"/>
      <c r="B655" s="7"/>
      <c r="C655" s="6"/>
      <c r="D655" s="53"/>
      <c r="E655" s="53"/>
      <c r="F655" s="53"/>
      <c r="G655" s="72"/>
      <c r="H655" s="8" t="s">
        <v>669</v>
      </c>
      <c r="I655" s="21"/>
      <c r="J655" s="56">
        <v>2000000</v>
      </c>
      <c r="K655" s="72"/>
      <c r="M655" s="52"/>
    </row>
    <row r="656" spans="1:13" ht="18.75" customHeight="1" x14ac:dyDescent="0.15">
      <c r="A656" s="7"/>
      <c r="B656" s="7"/>
      <c r="C656" s="18" t="s">
        <v>55</v>
      </c>
      <c r="D656" s="69">
        <v>15760000</v>
      </c>
      <c r="E656" s="69">
        <v>14084830</v>
      </c>
      <c r="F656" s="69">
        <f>SUM(J656:J664)</f>
        <v>26790000</v>
      </c>
      <c r="G656" s="73">
        <f>F656-D656</f>
        <v>11030000</v>
      </c>
      <c r="H656" s="32" t="s">
        <v>77</v>
      </c>
      <c r="I656" s="16" t="s">
        <v>670</v>
      </c>
      <c r="J656" s="59">
        <f>30000*50*5</f>
        <v>7500000</v>
      </c>
      <c r="K656" s="73"/>
      <c r="M656" s="52"/>
    </row>
    <row r="657" spans="1:13" ht="18.75" customHeight="1" x14ac:dyDescent="0.15">
      <c r="A657" s="7"/>
      <c r="B657" s="7"/>
      <c r="C657" s="7"/>
      <c r="D657" s="26"/>
      <c r="E657" s="26"/>
      <c r="F657" s="26"/>
      <c r="G657" s="75"/>
      <c r="H657" s="24" t="s">
        <v>78</v>
      </c>
      <c r="I657" s="11" t="s">
        <v>671</v>
      </c>
      <c r="J657" s="57">
        <f>15000*50*5</f>
        <v>3750000</v>
      </c>
      <c r="K657" s="75"/>
      <c r="M657" s="52"/>
    </row>
    <row r="658" spans="1:13" ht="18.75" customHeight="1" x14ac:dyDescent="0.15">
      <c r="A658" s="7"/>
      <c r="B658" s="7"/>
      <c r="C658" s="7"/>
      <c r="D658" s="26"/>
      <c r="E658" s="26"/>
      <c r="F658" s="26"/>
      <c r="G658" s="75"/>
      <c r="H658" s="24" t="s">
        <v>672</v>
      </c>
      <c r="I658" s="11" t="s">
        <v>673</v>
      </c>
      <c r="J658" s="57">
        <f>50000*50</f>
        <v>2500000</v>
      </c>
      <c r="K658" s="75"/>
      <c r="M658" s="52"/>
    </row>
    <row r="659" spans="1:13" ht="18.75" customHeight="1" x14ac:dyDescent="0.15">
      <c r="A659" s="7"/>
      <c r="B659" s="7"/>
      <c r="C659" s="7"/>
      <c r="D659" s="26"/>
      <c r="E659" s="26"/>
      <c r="F659" s="26"/>
      <c r="G659" s="75"/>
      <c r="H659" s="24" t="s">
        <v>674</v>
      </c>
      <c r="I659" s="11" t="s">
        <v>675</v>
      </c>
      <c r="J659" s="57">
        <f>40000*25*5</f>
        <v>5000000</v>
      </c>
      <c r="K659" s="75"/>
      <c r="M659" s="52"/>
    </row>
    <row r="660" spans="1:13" ht="18.75" customHeight="1" x14ac:dyDescent="0.15">
      <c r="A660" s="7"/>
      <c r="B660" s="7"/>
      <c r="C660" s="7"/>
      <c r="D660" s="26"/>
      <c r="E660" s="26"/>
      <c r="F660" s="26"/>
      <c r="G660" s="75"/>
      <c r="H660" s="24" t="s">
        <v>676</v>
      </c>
      <c r="I660" s="11" t="s">
        <v>677</v>
      </c>
      <c r="J660" s="57">
        <f>20*5*5*1350</f>
        <v>675000</v>
      </c>
      <c r="K660" s="75"/>
      <c r="M660" s="52"/>
    </row>
    <row r="661" spans="1:13" ht="18.75" customHeight="1" x14ac:dyDescent="0.15">
      <c r="A661" s="7"/>
      <c r="B661" s="7"/>
      <c r="C661" s="7"/>
      <c r="D661" s="26"/>
      <c r="E661" s="26"/>
      <c r="F661" s="26"/>
      <c r="G661" s="75"/>
      <c r="H661" s="24" t="s">
        <v>676</v>
      </c>
      <c r="I661" s="11" t="s">
        <v>678</v>
      </c>
      <c r="J661" s="57">
        <f>120000*5*5</f>
        <v>3000000</v>
      </c>
      <c r="K661" s="75"/>
      <c r="M661" s="52"/>
    </row>
    <row r="662" spans="1:13" ht="18.75" customHeight="1" x14ac:dyDescent="0.15">
      <c r="A662" s="7"/>
      <c r="B662" s="7"/>
      <c r="C662" s="7"/>
      <c r="D662" s="26"/>
      <c r="E662" s="26"/>
      <c r="F662" s="26"/>
      <c r="G662" s="75"/>
      <c r="H662" s="24" t="s">
        <v>679</v>
      </c>
      <c r="I662" s="11" t="s">
        <v>680</v>
      </c>
      <c r="J662" s="57">
        <f>120000*3*5</f>
        <v>1800000</v>
      </c>
      <c r="K662" s="75"/>
      <c r="M662" s="52"/>
    </row>
    <row r="663" spans="1:13" ht="18.75" customHeight="1" x14ac:dyDescent="0.15">
      <c r="A663" s="7"/>
      <c r="B663" s="7"/>
      <c r="C663" s="7"/>
      <c r="D663" s="26"/>
      <c r="E663" s="26"/>
      <c r="F663" s="26"/>
      <c r="G663" s="75"/>
      <c r="H663" s="24" t="s">
        <v>681</v>
      </c>
      <c r="I663" s="11" t="s">
        <v>682</v>
      </c>
      <c r="J663" s="57">
        <f>400*1350</f>
        <v>540000</v>
      </c>
      <c r="K663" s="75"/>
      <c r="M663" s="52"/>
    </row>
    <row r="664" spans="1:13" ht="18.75" customHeight="1" x14ac:dyDescent="0.15">
      <c r="A664" s="7"/>
      <c r="B664" s="7"/>
      <c r="C664" s="6"/>
      <c r="D664" s="53"/>
      <c r="E664" s="53"/>
      <c r="F664" s="53"/>
      <c r="G664" s="72"/>
      <c r="H664" s="25" t="s">
        <v>683</v>
      </c>
      <c r="I664" s="9" t="s">
        <v>684</v>
      </c>
      <c r="J664" s="56">
        <f>500*3*1350</f>
        <v>2025000</v>
      </c>
      <c r="K664" s="72"/>
      <c r="M664" s="52"/>
    </row>
    <row r="665" spans="1:13" ht="18.75" customHeight="1" x14ac:dyDescent="0.15">
      <c r="A665" s="7"/>
      <c r="B665" s="7"/>
      <c r="C665" s="7" t="s">
        <v>16</v>
      </c>
      <c r="D665" s="26">
        <v>7000000</v>
      </c>
      <c r="E665" s="26">
        <v>6638800</v>
      </c>
      <c r="F665" s="26">
        <f>SUM(J665:J674)</f>
        <v>10084000</v>
      </c>
      <c r="G665" s="75">
        <f>F665-D665</f>
        <v>3084000</v>
      </c>
      <c r="H665" s="10" t="s">
        <v>524</v>
      </c>
      <c r="I665" s="11" t="s">
        <v>685</v>
      </c>
      <c r="J665" s="57">
        <f>3170*300</f>
        <v>951000</v>
      </c>
      <c r="K665" s="75"/>
      <c r="M665" s="52"/>
    </row>
    <row r="666" spans="1:13" ht="18.75" customHeight="1" x14ac:dyDescent="0.15">
      <c r="A666" s="7"/>
      <c r="B666" s="7"/>
      <c r="C666" s="7"/>
      <c r="D666" s="26"/>
      <c r="E666" s="26"/>
      <c r="F666" s="26"/>
      <c r="G666" s="75"/>
      <c r="H666" s="10" t="s">
        <v>103</v>
      </c>
      <c r="I666" s="11" t="s">
        <v>686</v>
      </c>
      <c r="J666" s="57">
        <f>7260*500</f>
        <v>3630000</v>
      </c>
      <c r="K666" s="75"/>
      <c r="M666" s="52"/>
    </row>
    <row r="667" spans="1:13" ht="18.75" customHeight="1" x14ac:dyDescent="0.15">
      <c r="A667" s="7"/>
      <c r="B667" s="7"/>
      <c r="C667" s="7"/>
      <c r="D667" s="26"/>
      <c r="E667" s="26"/>
      <c r="F667" s="26"/>
      <c r="G667" s="75"/>
      <c r="H667" s="10" t="s">
        <v>687</v>
      </c>
      <c r="I667" s="11" t="s">
        <v>688</v>
      </c>
      <c r="J667" s="57">
        <f>4950*400</f>
        <v>1980000</v>
      </c>
      <c r="K667" s="75"/>
      <c r="M667" s="52"/>
    </row>
    <row r="668" spans="1:13" ht="18.75" customHeight="1" x14ac:dyDescent="0.15">
      <c r="A668" s="7"/>
      <c r="B668" s="7"/>
      <c r="C668" s="7"/>
      <c r="D668" s="26"/>
      <c r="E668" s="26"/>
      <c r="F668" s="26"/>
      <c r="G668" s="75"/>
      <c r="H668" s="10" t="s">
        <v>689</v>
      </c>
      <c r="I668" s="11"/>
      <c r="J668" s="57">
        <v>440000</v>
      </c>
      <c r="K668" s="75"/>
      <c r="M668" s="52"/>
    </row>
    <row r="669" spans="1:13" ht="18.75" customHeight="1" x14ac:dyDescent="0.15">
      <c r="A669" s="7"/>
      <c r="B669" s="7"/>
      <c r="C669" s="7"/>
      <c r="D669" s="26"/>
      <c r="E669" s="26"/>
      <c r="F669" s="26"/>
      <c r="G669" s="75"/>
      <c r="H669" s="10" t="s">
        <v>690</v>
      </c>
      <c r="I669" s="11" t="s">
        <v>691</v>
      </c>
      <c r="J669" s="57">
        <f>1400*550</f>
        <v>770000</v>
      </c>
      <c r="K669" s="75"/>
      <c r="M669" s="52"/>
    </row>
    <row r="670" spans="1:13" ht="18.75" customHeight="1" x14ac:dyDescent="0.15">
      <c r="A670" s="7"/>
      <c r="B670" s="7"/>
      <c r="C670" s="7"/>
      <c r="D670" s="26"/>
      <c r="E670" s="26"/>
      <c r="F670" s="26"/>
      <c r="G670" s="75"/>
      <c r="H670" s="10" t="s">
        <v>692</v>
      </c>
      <c r="I670" s="11" t="s">
        <v>693</v>
      </c>
      <c r="J670" s="57">
        <f>82500*8</f>
        <v>660000</v>
      </c>
      <c r="K670" s="75"/>
      <c r="M670" s="52"/>
    </row>
    <row r="671" spans="1:13" ht="18.75" customHeight="1" x14ac:dyDescent="0.15">
      <c r="A671" s="7"/>
      <c r="B671" s="7"/>
      <c r="C671" s="7"/>
      <c r="D671" s="26"/>
      <c r="E671" s="26"/>
      <c r="F671" s="26"/>
      <c r="G671" s="75"/>
      <c r="H671" s="86" t="s">
        <v>699</v>
      </c>
      <c r="I671" s="11"/>
      <c r="J671" s="57">
        <v>605000</v>
      </c>
      <c r="K671" s="75"/>
      <c r="M671" s="52"/>
    </row>
    <row r="672" spans="1:13" ht="18.75" customHeight="1" x14ac:dyDescent="0.15">
      <c r="A672" s="7"/>
      <c r="B672" s="7"/>
      <c r="C672" s="7"/>
      <c r="D672" s="26"/>
      <c r="E672" s="26"/>
      <c r="F672" s="26"/>
      <c r="G672" s="75"/>
      <c r="H672" s="10" t="s">
        <v>694</v>
      </c>
      <c r="I672" s="11" t="s">
        <v>695</v>
      </c>
      <c r="J672" s="57">
        <f>2120*400</f>
        <v>848000</v>
      </c>
      <c r="K672" s="75"/>
      <c r="M672" s="52"/>
    </row>
    <row r="673" spans="1:13" ht="18.75" customHeight="1" x14ac:dyDescent="0.15">
      <c r="A673" s="7"/>
      <c r="B673" s="7"/>
      <c r="C673" s="7"/>
      <c r="D673" s="26"/>
      <c r="E673" s="26"/>
      <c r="F673" s="26"/>
      <c r="G673" s="75"/>
      <c r="H673" s="10" t="s">
        <v>696</v>
      </c>
      <c r="I673" s="11"/>
      <c r="J673" s="57">
        <v>100000</v>
      </c>
      <c r="K673" s="75"/>
      <c r="M673" s="52"/>
    </row>
    <row r="674" spans="1:13" ht="18.75" customHeight="1" x14ac:dyDescent="0.15">
      <c r="A674" s="6"/>
      <c r="B674" s="6"/>
      <c r="C674" s="6"/>
      <c r="D674" s="53"/>
      <c r="E674" s="53"/>
      <c r="F674" s="53"/>
      <c r="G674" s="72"/>
      <c r="H674" s="8" t="s">
        <v>697</v>
      </c>
      <c r="I674" s="11"/>
      <c r="J674" s="57">
        <v>100000</v>
      </c>
      <c r="K674" s="72"/>
      <c r="M674" s="52"/>
    </row>
    <row r="675" spans="1:13" ht="15.75" customHeight="1" x14ac:dyDescent="0.15">
      <c r="A675" s="7" t="s">
        <v>159</v>
      </c>
      <c r="B675" s="7" t="s">
        <v>161</v>
      </c>
      <c r="C675" s="7" t="s">
        <v>65</v>
      </c>
      <c r="D675" s="26">
        <v>3200000</v>
      </c>
      <c r="E675" s="26">
        <v>3400800</v>
      </c>
      <c r="F675" s="26">
        <f>SUM(J675:J678)</f>
        <v>22000000</v>
      </c>
      <c r="G675" s="75">
        <f>F675-D675</f>
        <v>18800000</v>
      </c>
      <c r="H675" s="10" t="s">
        <v>166</v>
      </c>
      <c r="I675" s="16"/>
      <c r="J675" s="59">
        <v>5000000</v>
      </c>
      <c r="K675" s="75"/>
      <c r="M675" s="52"/>
    </row>
    <row r="676" spans="1:13" ht="15.75" customHeight="1" x14ac:dyDescent="0.15">
      <c r="A676" s="7" t="s">
        <v>160</v>
      </c>
      <c r="B676" s="7" t="s">
        <v>162</v>
      </c>
      <c r="C676" s="7"/>
      <c r="D676" s="26"/>
      <c r="E676" s="26"/>
      <c r="F676" s="26"/>
      <c r="G676" s="75"/>
      <c r="H676" s="10" t="s">
        <v>167</v>
      </c>
      <c r="I676" s="11"/>
      <c r="J676" s="57">
        <v>2000000</v>
      </c>
      <c r="K676" s="75"/>
      <c r="M676" s="52"/>
    </row>
    <row r="677" spans="1:13" ht="15.75" customHeight="1" x14ac:dyDescent="0.15">
      <c r="A677" s="7"/>
      <c r="B677" s="7"/>
      <c r="C677" s="7"/>
      <c r="D677" s="26"/>
      <c r="E677" s="26"/>
      <c r="F677" s="26"/>
      <c r="G677" s="75"/>
      <c r="H677" s="10" t="s">
        <v>698</v>
      </c>
      <c r="I677" s="11"/>
      <c r="J677" s="57">
        <v>4000000</v>
      </c>
      <c r="K677" s="75"/>
      <c r="M677" s="52"/>
    </row>
    <row r="678" spans="1:13" ht="15.75" customHeight="1" x14ac:dyDescent="0.15">
      <c r="A678" s="7"/>
      <c r="B678" s="7"/>
      <c r="C678" s="6"/>
      <c r="D678" s="53"/>
      <c r="E678" s="53"/>
      <c r="F678" s="53"/>
      <c r="G678" s="72"/>
      <c r="H678" s="8" t="s">
        <v>700</v>
      </c>
      <c r="I678" s="9" t="s">
        <v>701</v>
      </c>
      <c r="J678" s="56">
        <f>55000*200</f>
        <v>11000000</v>
      </c>
      <c r="K678" s="72"/>
      <c r="M678" s="52"/>
    </row>
    <row r="679" spans="1:13" ht="15.75" customHeight="1" x14ac:dyDescent="0.15">
      <c r="A679" s="7"/>
      <c r="B679" s="7"/>
      <c r="C679" s="7" t="s">
        <v>35</v>
      </c>
      <c r="D679" s="26">
        <v>16200000</v>
      </c>
      <c r="E679" s="26">
        <v>28331879</v>
      </c>
      <c r="F679" s="26">
        <f>SUM(J679:J682)</f>
        <v>23500000</v>
      </c>
      <c r="G679" s="75">
        <f>F679-D679</f>
        <v>7300000</v>
      </c>
      <c r="H679" s="10" t="s">
        <v>168</v>
      </c>
      <c r="I679" s="11"/>
      <c r="J679" s="57">
        <v>15000000</v>
      </c>
      <c r="K679" s="75"/>
      <c r="M679" s="52"/>
    </row>
    <row r="680" spans="1:13" ht="15.75" customHeight="1" x14ac:dyDescent="0.15">
      <c r="A680" s="7"/>
      <c r="B680" s="7"/>
      <c r="C680" s="7"/>
      <c r="D680" s="26"/>
      <c r="E680" s="26"/>
      <c r="F680" s="26"/>
      <c r="G680" s="75"/>
      <c r="H680" s="10" t="s">
        <v>169</v>
      </c>
      <c r="I680" s="11"/>
      <c r="J680" s="57">
        <v>2500000</v>
      </c>
      <c r="K680" s="75"/>
      <c r="M680" s="52"/>
    </row>
    <row r="681" spans="1:13" ht="15.75" customHeight="1" x14ac:dyDescent="0.15">
      <c r="A681" s="7"/>
      <c r="B681" s="7"/>
      <c r="C681" s="7"/>
      <c r="D681" s="26"/>
      <c r="E681" s="26"/>
      <c r="F681" s="26"/>
      <c r="G681" s="75"/>
      <c r="H681" s="10" t="s">
        <v>170</v>
      </c>
      <c r="I681" s="11"/>
      <c r="J681" s="57">
        <v>1000000</v>
      </c>
      <c r="K681" s="75"/>
      <c r="M681" s="52"/>
    </row>
    <row r="682" spans="1:13" ht="15.75" customHeight="1" x14ac:dyDescent="0.15">
      <c r="A682" s="7"/>
      <c r="B682" s="7"/>
      <c r="C682" s="6"/>
      <c r="D682" s="53"/>
      <c r="E682" s="53"/>
      <c r="F682" s="53"/>
      <c r="G682" s="72"/>
      <c r="H682" s="8" t="s">
        <v>214</v>
      </c>
      <c r="I682" s="9"/>
      <c r="J682" s="56">
        <v>5000000</v>
      </c>
      <c r="K682" s="72"/>
      <c r="M682" s="52"/>
    </row>
    <row r="683" spans="1:13" ht="15.75" customHeight="1" x14ac:dyDescent="0.15">
      <c r="A683" s="7"/>
      <c r="B683" s="7"/>
      <c r="C683" s="7" t="s">
        <v>171</v>
      </c>
      <c r="D683" s="26">
        <v>16400000</v>
      </c>
      <c r="E683" s="26">
        <v>23306670</v>
      </c>
      <c r="F683" s="26">
        <f>SUM(J683:J690)</f>
        <v>22300000</v>
      </c>
      <c r="G683" s="75">
        <f>F683-D683</f>
        <v>5900000</v>
      </c>
      <c r="H683" s="10" t="s">
        <v>172</v>
      </c>
      <c r="I683" s="11" t="s">
        <v>702</v>
      </c>
      <c r="J683" s="57">
        <f>100000*30</f>
        <v>3000000</v>
      </c>
      <c r="K683" s="75"/>
      <c r="M683" s="52"/>
    </row>
    <row r="684" spans="1:13" ht="15.75" customHeight="1" x14ac:dyDescent="0.15">
      <c r="A684" s="7"/>
      <c r="B684" s="7"/>
      <c r="C684" s="7"/>
      <c r="D684" s="26"/>
      <c r="E684" s="26"/>
      <c r="F684" s="26"/>
      <c r="G684" s="75"/>
      <c r="H684" s="10" t="s">
        <v>173</v>
      </c>
      <c r="I684" s="11" t="s">
        <v>703</v>
      </c>
      <c r="J684" s="57">
        <f>5000*12*30</f>
        <v>1800000</v>
      </c>
      <c r="K684" s="75"/>
      <c r="M684" s="52"/>
    </row>
    <row r="685" spans="1:13" ht="15.75" customHeight="1" x14ac:dyDescent="0.15">
      <c r="A685" s="7"/>
      <c r="B685" s="7"/>
      <c r="C685" s="7"/>
      <c r="D685" s="26"/>
      <c r="E685" s="26"/>
      <c r="F685" s="26"/>
      <c r="G685" s="75"/>
      <c r="H685" s="10" t="s">
        <v>174</v>
      </c>
      <c r="I685" s="11" t="s">
        <v>704</v>
      </c>
      <c r="J685" s="57">
        <f>40000*15*5</f>
        <v>3000000</v>
      </c>
      <c r="K685" s="75"/>
      <c r="M685" s="52"/>
    </row>
    <row r="686" spans="1:13" ht="15.75" customHeight="1" x14ac:dyDescent="0.15">
      <c r="A686" s="7"/>
      <c r="B686" s="7"/>
      <c r="C686" s="7"/>
      <c r="D686" s="26"/>
      <c r="E686" s="26"/>
      <c r="F686" s="26"/>
      <c r="G686" s="75"/>
      <c r="H686" s="10" t="s">
        <v>59</v>
      </c>
      <c r="I686" s="11" t="s">
        <v>565</v>
      </c>
      <c r="J686" s="57">
        <f>50000*10*5</f>
        <v>2500000</v>
      </c>
      <c r="K686" s="75"/>
      <c r="M686" s="52"/>
    </row>
    <row r="687" spans="1:13" ht="15.75" customHeight="1" x14ac:dyDescent="0.15">
      <c r="A687" s="7"/>
      <c r="B687" s="7"/>
      <c r="C687" s="7"/>
      <c r="D687" s="26"/>
      <c r="E687" s="26"/>
      <c r="F687" s="26"/>
      <c r="G687" s="75"/>
      <c r="H687" s="10" t="s">
        <v>175</v>
      </c>
      <c r="I687" s="11" t="s">
        <v>705</v>
      </c>
      <c r="J687" s="57">
        <f>400000*5*3</f>
        <v>6000000</v>
      </c>
      <c r="K687" s="75"/>
      <c r="M687" s="52"/>
    </row>
    <row r="688" spans="1:13" ht="15.75" customHeight="1" x14ac:dyDescent="0.15">
      <c r="A688" s="7"/>
      <c r="B688" s="7"/>
      <c r="C688" s="7"/>
      <c r="D688" s="26"/>
      <c r="E688" s="26"/>
      <c r="F688" s="26"/>
      <c r="G688" s="75"/>
      <c r="H688" s="10" t="s">
        <v>176</v>
      </c>
      <c r="I688" s="11"/>
      <c r="J688" s="57">
        <v>3000000</v>
      </c>
      <c r="K688" s="75"/>
      <c r="M688" s="52"/>
    </row>
    <row r="689" spans="1:13" ht="15.75" customHeight="1" x14ac:dyDescent="0.15">
      <c r="A689" s="7"/>
      <c r="B689" s="7"/>
      <c r="C689" s="7"/>
      <c r="D689" s="26"/>
      <c r="E689" s="26"/>
      <c r="F689" s="26"/>
      <c r="G689" s="75"/>
      <c r="H689" s="10" t="s">
        <v>177</v>
      </c>
      <c r="I689" s="11"/>
      <c r="J689" s="57">
        <v>2000000</v>
      </c>
      <c r="K689" s="75"/>
      <c r="M689" s="52"/>
    </row>
    <row r="690" spans="1:13" ht="15.75" customHeight="1" x14ac:dyDescent="0.15">
      <c r="A690" s="7"/>
      <c r="B690" s="7"/>
      <c r="C690" s="6"/>
      <c r="D690" s="53"/>
      <c r="E690" s="53"/>
      <c r="F690" s="53"/>
      <c r="G690" s="72"/>
      <c r="H690" s="8" t="s">
        <v>178</v>
      </c>
      <c r="I690" s="9"/>
      <c r="J690" s="56">
        <v>1000000</v>
      </c>
      <c r="K690" s="72"/>
      <c r="M690" s="52"/>
    </row>
    <row r="691" spans="1:13" ht="15.75" customHeight="1" x14ac:dyDescent="0.15">
      <c r="A691" s="7"/>
      <c r="B691" s="7"/>
      <c r="C691" s="7" t="s">
        <v>9</v>
      </c>
      <c r="D691" s="26">
        <v>2000000</v>
      </c>
      <c r="E691" s="26">
        <v>1297830</v>
      </c>
      <c r="F691" s="26">
        <f>SUM(J691:J692)</f>
        <v>3000000</v>
      </c>
      <c r="G691" s="75">
        <f>F691-D691</f>
        <v>1000000</v>
      </c>
      <c r="H691" s="10" t="s">
        <v>179</v>
      </c>
      <c r="I691" s="11"/>
      <c r="J691" s="57">
        <v>2000000</v>
      </c>
      <c r="K691" s="75"/>
      <c r="M691" s="52"/>
    </row>
    <row r="692" spans="1:13" ht="15.75" customHeight="1" x14ac:dyDescent="0.15">
      <c r="A692" s="7"/>
      <c r="B692" s="7"/>
      <c r="C692" s="6"/>
      <c r="D692" s="53"/>
      <c r="E692" s="53"/>
      <c r="F692" s="53"/>
      <c r="G692" s="72"/>
      <c r="H692" s="8" t="s">
        <v>180</v>
      </c>
      <c r="I692" s="9"/>
      <c r="J692" s="56">
        <v>1000000</v>
      </c>
      <c r="K692" s="72"/>
      <c r="M692" s="52"/>
    </row>
    <row r="693" spans="1:13" ht="15.75" customHeight="1" x14ac:dyDescent="0.15">
      <c r="A693" s="7"/>
      <c r="B693" s="7"/>
      <c r="C693" s="6" t="s">
        <v>42</v>
      </c>
      <c r="D693" s="53">
        <v>10000000</v>
      </c>
      <c r="E693" s="53">
        <v>0</v>
      </c>
      <c r="F693" s="51">
        <f>SUM(J693:J693)</f>
        <v>10000000</v>
      </c>
      <c r="G693" s="74">
        <f>F693-D693</f>
        <v>0</v>
      </c>
      <c r="H693" s="13" t="s">
        <v>181</v>
      </c>
      <c r="I693" s="14"/>
      <c r="J693" s="58">
        <v>10000000</v>
      </c>
      <c r="K693" s="74"/>
      <c r="M693" s="52"/>
    </row>
    <row r="694" spans="1:13" ht="15.75" customHeight="1" x14ac:dyDescent="0.15">
      <c r="A694" s="7"/>
      <c r="B694" s="7"/>
      <c r="C694" s="12" t="s">
        <v>37</v>
      </c>
      <c r="D694" s="51">
        <v>5000000</v>
      </c>
      <c r="E694" s="51">
        <v>5920000</v>
      </c>
      <c r="F694" s="51">
        <f>SUM(J694:J694)</f>
        <v>10000000</v>
      </c>
      <c r="G694" s="74">
        <f>F694-D694</f>
        <v>5000000</v>
      </c>
      <c r="H694" s="13" t="s">
        <v>242</v>
      </c>
      <c r="I694" s="14"/>
      <c r="J694" s="58">
        <v>10000000</v>
      </c>
      <c r="K694" s="74"/>
      <c r="M694" s="52"/>
    </row>
    <row r="695" spans="1:13" ht="15.75" customHeight="1" x14ac:dyDescent="0.15">
      <c r="A695" s="7"/>
      <c r="B695" s="7"/>
      <c r="C695" s="6" t="s">
        <v>82</v>
      </c>
      <c r="D695" s="53">
        <v>10000000</v>
      </c>
      <c r="E695" s="53">
        <v>5500000</v>
      </c>
      <c r="F695" s="53">
        <f>J695</f>
        <v>0</v>
      </c>
      <c r="G695" s="74">
        <f>F695-D695</f>
        <v>-10000000</v>
      </c>
      <c r="H695" s="8"/>
      <c r="I695" s="9"/>
      <c r="J695" s="56"/>
      <c r="K695" s="74"/>
      <c r="M695" s="52"/>
    </row>
    <row r="696" spans="1:13" ht="15.75" customHeight="1" x14ac:dyDescent="0.15">
      <c r="A696" s="7"/>
      <c r="B696" s="6"/>
      <c r="C696" s="6" t="s">
        <v>85</v>
      </c>
      <c r="D696" s="53">
        <v>1000000</v>
      </c>
      <c r="E696" s="53">
        <v>0</v>
      </c>
      <c r="F696" s="53">
        <f>SUM(J696)</f>
        <v>5000000</v>
      </c>
      <c r="G696" s="74">
        <f>F696-D696</f>
        <v>4000000</v>
      </c>
      <c r="H696" s="8" t="s">
        <v>86</v>
      </c>
      <c r="I696" s="9"/>
      <c r="J696" s="56">
        <v>5000000</v>
      </c>
      <c r="K696" s="74"/>
      <c r="M696" s="52"/>
    </row>
    <row r="697" spans="1:13" ht="15.75" customHeight="1" x14ac:dyDescent="0.15">
      <c r="A697" s="7"/>
      <c r="B697" s="7" t="s">
        <v>157</v>
      </c>
      <c r="C697" s="6"/>
      <c r="D697" s="53">
        <f>SUM(D698:D703)</f>
        <v>0</v>
      </c>
      <c r="E697" s="53">
        <v>0</v>
      </c>
      <c r="F697" s="53">
        <f>SUM(F698:F703)</f>
        <v>6000000</v>
      </c>
      <c r="G697" s="53">
        <f>SUM(G698:G703)</f>
        <v>6000000</v>
      </c>
      <c r="H697" s="8"/>
      <c r="I697" s="9"/>
      <c r="J697" s="56"/>
      <c r="K697" s="53"/>
      <c r="M697" s="52"/>
    </row>
    <row r="698" spans="1:13" ht="15.75" customHeight="1" x14ac:dyDescent="0.15">
      <c r="A698" s="7"/>
      <c r="B698" s="7" t="s">
        <v>154</v>
      </c>
      <c r="C698" s="6" t="s">
        <v>58</v>
      </c>
      <c r="D698" s="53">
        <v>0</v>
      </c>
      <c r="E698" s="53">
        <v>0</v>
      </c>
      <c r="F698" s="53">
        <f>J698</f>
        <v>1000000</v>
      </c>
      <c r="G698" s="72">
        <f>F698-D698</f>
        <v>1000000</v>
      </c>
      <c r="H698" s="8" t="s">
        <v>59</v>
      </c>
      <c r="I698" s="9" t="s">
        <v>706</v>
      </c>
      <c r="J698" s="56">
        <f>50000*5*4</f>
        <v>1000000</v>
      </c>
      <c r="K698" s="72"/>
      <c r="M698" s="52"/>
    </row>
    <row r="699" spans="1:13" ht="15.75" customHeight="1" x14ac:dyDescent="0.15">
      <c r="A699" s="7"/>
      <c r="B699" s="7"/>
      <c r="C699" s="6" t="s">
        <v>63</v>
      </c>
      <c r="D699" s="53">
        <v>0</v>
      </c>
      <c r="E699" s="53">
        <v>0</v>
      </c>
      <c r="F699" s="53">
        <f>J699</f>
        <v>1000000</v>
      </c>
      <c r="G699" s="72">
        <f>F699-D699</f>
        <v>1000000</v>
      </c>
      <c r="H699" s="8" t="s">
        <v>64</v>
      </c>
      <c r="I699" s="9"/>
      <c r="J699" s="56">
        <v>1000000</v>
      </c>
      <c r="K699" s="72"/>
      <c r="M699" s="52"/>
    </row>
    <row r="700" spans="1:13" ht="15.75" customHeight="1" x14ac:dyDescent="0.15">
      <c r="A700" s="7"/>
      <c r="B700" s="7"/>
      <c r="C700" s="7" t="s">
        <v>707</v>
      </c>
      <c r="D700" s="26">
        <v>0</v>
      </c>
      <c r="E700" s="26">
        <v>0</v>
      </c>
      <c r="F700" s="26">
        <f>SUM(J700:J701)</f>
        <v>2000000</v>
      </c>
      <c r="G700" s="75">
        <f>F700-D700</f>
        <v>2000000</v>
      </c>
      <c r="H700" s="10" t="s">
        <v>60</v>
      </c>
      <c r="I700" s="11"/>
      <c r="J700" s="57">
        <v>1000000</v>
      </c>
      <c r="K700" s="75"/>
      <c r="M700" s="52"/>
    </row>
    <row r="701" spans="1:13" ht="15.75" customHeight="1" x14ac:dyDescent="0.15">
      <c r="A701" s="7"/>
      <c r="B701" s="7"/>
      <c r="C701" s="6"/>
      <c r="D701" s="53"/>
      <c r="E701" s="53"/>
      <c r="F701" s="53"/>
      <c r="G701" s="72"/>
      <c r="H701" s="8" t="s">
        <v>708</v>
      </c>
      <c r="I701" s="9"/>
      <c r="J701" s="56">
        <v>1000000</v>
      </c>
      <c r="K701" s="72"/>
      <c r="M701" s="52"/>
    </row>
    <row r="702" spans="1:13" ht="15.75" customHeight="1" x14ac:dyDescent="0.15">
      <c r="A702" s="7"/>
      <c r="B702" s="7"/>
      <c r="C702" s="6" t="s">
        <v>61</v>
      </c>
      <c r="D702" s="53">
        <v>0</v>
      </c>
      <c r="E702" s="53">
        <v>0</v>
      </c>
      <c r="F702" s="53">
        <f>SUM(J702)</f>
        <v>1000000</v>
      </c>
      <c r="G702" s="72">
        <f>F702-D702</f>
        <v>1000000</v>
      </c>
      <c r="H702" s="8" t="s">
        <v>493</v>
      </c>
      <c r="I702" s="9"/>
      <c r="J702" s="56">
        <v>1000000</v>
      </c>
      <c r="K702" s="72"/>
      <c r="M702" s="52"/>
    </row>
    <row r="703" spans="1:13" ht="15.75" customHeight="1" x14ac:dyDescent="0.15">
      <c r="A703" s="6"/>
      <c r="B703" s="6"/>
      <c r="C703" s="6" t="s">
        <v>85</v>
      </c>
      <c r="D703" s="53">
        <v>0</v>
      </c>
      <c r="E703" s="53">
        <v>0</v>
      </c>
      <c r="F703" s="53">
        <f>SUM(J703)</f>
        <v>1000000</v>
      </c>
      <c r="G703" s="72">
        <f>F703-D703</f>
        <v>1000000</v>
      </c>
      <c r="H703" s="8" t="s">
        <v>86</v>
      </c>
      <c r="I703" s="9"/>
      <c r="J703" s="56">
        <v>1000000</v>
      </c>
      <c r="K703" s="72"/>
      <c r="M703" s="52"/>
    </row>
    <row r="704" spans="1:13" ht="18" customHeight="1" x14ac:dyDescent="0.15">
      <c r="A704" s="7" t="s">
        <v>182</v>
      </c>
      <c r="B704" s="6"/>
      <c r="C704" s="6"/>
      <c r="D704" s="53">
        <v>0</v>
      </c>
      <c r="E704" s="53">
        <v>0</v>
      </c>
      <c r="F704" s="51" t="e">
        <f>SUM(F705:F706)</f>
        <v>#REF!</v>
      </c>
      <c r="G704" s="53" t="e">
        <f t="shared" ref="G704:G711" si="23">F704-D704</f>
        <v>#REF!</v>
      </c>
      <c r="H704" s="8"/>
      <c r="I704" s="9"/>
      <c r="J704" s="56"/>
      <c r="K704" s="53"/>
      <c r="M704" s="52"/>
    </row>
    <row r="705" spans="1:13" ht="18" customHeight="1" x14ac:dyDescent="0.15">
      <c r="A705" s="7"/>
      <c r="B705" s="7" t="s">
        <v>183</v>
      </c>
      <c r="C705" s="18" t="s">
        <v>184</v>
      </c>
      <c r="D705" s="69">
        <v>0</v>
      </c>
      <c r="E705" s="69">
        <v>0</v>
      </c>
      <c r="F705" s="69" t="e">
        <f>SUM(#REF!)</f>
        <v>#REF!</v>
      </c>
      <c r="G705" s="69" t="e">
        <f t="shared" si="23"/>
        <v>#REF!</v>
      </c>
      <c r="H705" s="13"/>
      <c r="I705" s="14"/>
      <c r="K705" s="69"/>
      <c r="M705" s="52"/>
    </row>
    <row r="706" spans="1:13" ht="18" customHeight="1" x14ac:dyDescent="0.15">
      <c r="A706" s="6"/>
      <c r="B706" s="6"/>
      <c r="C706" s="12" t="s">
        <v>185</v>
      </c>
      <c r="D706" s="51">
        <v>0</v>
      </c>
      <c r="E706" s="51">
        <v>0</v>
      </c>
      <c r="F706" s="51">
        <f>SUM(J706:J706)</f>
        <v>0</v>
      </c>
      <c r="G706" s="51">
        <f t="shared" si="23"/>
        <v>0</v>
      </c>
      <c r="H706" s="8"/>
      <c r="I706" s="9"/>
      <c r="J706" s="58"/>
      <c r="K706" s="51"/>
      <c r="M706" s="52"/>
    </row>
    <row r="707" spans="1:13" ht="18" customHeight="1" x14ac:dyDescent="0.15">
      <c r="A707" s="6" t="s">
        <v>261</v>
      </c>
      <c r="B707" s="6"/>
      <c r="C707" s="6"/>
      <c r="D707" s="51">
        <v>31000000</v>
      </c>
      <c r="E707" s="51">
        <v>256000000</v>
      </c>
      <c r="F707" s="51">
        <f>J707</f>
        <v>0</v>
      </c>
      <c r="G707" s="73">
        <f t="shared" si="23"/>
        <v>-31000000</v>
      </c>
      <c r="H707" s="8"/>
      <c r="I707" s="9"/>
      <c r="J707" s="56"/>
      <c r="K707" s="73"/>
      <c r="M707" s="52"/>
    </row>
    <row r="708" spans="1:13" ht="18" customHeight="1" x14ac:dyDescent="0.15">
      <c r="A708" s="6" t="s">
        <v>85</v>
      </c>
      <c r="B708" s="6"/>
      <c r="C708" s="6"/>
      <c r="D708" s="51">
        <v>38821972</v>
      </c>
      <c r="E708" s="51">
        <v>8013828</v>
      </c>
      <c r="F708" s="51">
        <f>SUM(F709)</f>
        <v>10000000</v>
      </c>
      <c r="G708" s="74">
        <f t="shared" si="23"/>
        <v>-28821972</v>
      </c>
      <c r="H708" s="8"/>
      <c r="I708" s="9"/>
      <c r="J708" s="56"/>
      <c r="K708" s="74"/>
      <c r="M708" s="52"/>
    </row>
    <row r="709" spans="1:13" ht="18" customHeight="1" x14ac:dyDescent="0.15">
      <c r="A709" s="6"/>
      <c r="B709" s="6" t="s">
        <v>85</v>
      </c>
      <c r="C709" s="6"/>
      <c r="D709" s="53">
        <v>38821972</v>
      </c>
      <c r="E709" s="53">
        <v>8013828</v>
      </c>
      <c r="F709" s="53">
        <f>SUM(J709)</f>
        <v>10000000</v>
      </c>
      <c r="G709" s="72">
        <f t="shared" si="23"/>
        <v>-28821972</v>
      </c>
      <c r="H709" s="8" t="s">
        <v>86</v>
      </c>
      <c r="I709" s="9"/>
      <c r="J709" s="56">
        <v>10000000</v>
      </c>
      <c r="K709" s="72"/>
      <c r="M709" s="52"/>
    </row>
    <row r="710" spans="1:13" ht="18" customHeight="1" x14ac:dyDescent="0.15">
      <c r="A710" s="7" t="s">
        <v>800</v>
      </c>
      <c r="B710" s="7"/>
      <c r="C710" s="7"/>
      <c r="D710" s="26">
        <v>0</v>
      </c>
      <c r="E710" s="26">
        <v>38430000</v>
      </c>
      <c r="F710" s="26">
        <v>0</v>
      </c>
      <c r="G710" s="26">
        <v>0</v>
      </c>
      <c r="H710" s="10"/>
      <c r="I710" s="11"/>
      <c r="J710" s="57"/>
      <c r="K710" s="75"/>
      <c r="M710" s="52"/>
    </row>
    <row r="711" spans="1:13" ht="18" customHeight="1" thickBot="1" x14ac:dyDescent="0.2">
      <c r="A711" s="18" t="s">
        <v>186</v>
      </c>
      <c r="B711" s="18" t="s">
        <v>187</v>
      </c>
      <c r="C711" s="18"/>
      <c r="D711" s="69">
        <v>22510445</v>
      </c>
      <c r="E711" s="69">
        <v>81200200</v>
      </c>
      <c r="F711" s="69">
        <f>SUM(J711)</f>
        <v>16616936</v>
      </c>
      <c r="G711" s="73">
        <f t="shared" si="23"/>
        <v>-5893509</v>
      </c>
      <c r="H711" s="15"/>
      <c r="I711" s="16"/>
      <c r="J711" s="59">
        <f>16625118-8182</f>
        <v>16616936</v>
      </c>
      <c r="K711" s="73"/>
      <c r="M711" s="52"/>
    </row>
    <row r="712" spans="1:13" ht="18" customHeight="1" thickBot="1" x14ac:dyDescent="0.2">
      <c r="A712" s="34" t="s">
        <v>188</v>
      </c>
      <c r="B712" s="34"/>
      <c r="C712" s="34"/>
      <c r="D712" s="70">
        <v>1984330417</v>
      </c>
      <c r="E712" s="70">
        <f>E711+E708+E707+E704+E648+E445+E374+E361+E81+E5+E710</f>
        <v>2517186255</v>
      </c>
      <c r="F712" s="70" t="e">
        <f>F711+F708+F707+F704+F648+F445+F374+F361+F81+F5</f>
        <v>#REF!</v>
      </c>
      <c r="G712" s="76" t="e">
        <f>G711+G708+G707+G704+G648+G445+G374+G361+G81+G5</f>
        <v>#REF!</v>
      </c>
      <c r="H712" s="35"/>
      <c r="I712" s="36"/>
      <c r="J712" s="66"/>
      <c r="K712" s="76"/>
      <c r="M712" s="52"/>
    </row>
    <row r="713" spans="1:13" ht="13.5" customHeight="1" x14ac:dyDescent="0.15">
      <c r="M713" s="52"/>
    </row>
    <row r="714" spans="1:13" ht="16.5" customHeight="1" x14ac:dyDescent="0.15">
      <c r="M714" s="52"/>
    </row>
    <row r="715" spans="1:13" ht="16.5" customHeight="1" x14ac:dyDescent="0.15">
      <c r="M715" s="52"/>
    </row>
    <row r="716" spans="1:13" ht="16.5" customHeight="1" x14ac:dyDescent="0.15">
      <c r="M716" s="52"/>
    </row>
    <row r="717" spans="1:13" ht="16.5" customHeight="1" x14ac:dyDescent="0.15">
      <c r="M717" s="52"/>
    </row>
    <row r="718" spans="1:13" ht="16.5" customHeight="1" x14ac:dyDescent="0.15">
      <c r="M718" s="52"/>
    </row>
    <row r="719" spans="1:13" ht="16.5" customHeight="1" x14ac:dyDescent="0.15">
      <c r="M719" s="52"/>
    </row>
    <row r="720" spans="1:13" ht="16.5" customHeight="1" x14ac:dyDescent="0.15">
      <c r="M720" s="52"/>
    </row>
    <row r="721" spans="13:13" ht="16.5" customHeight="1" x14ac:dyDescent="0.15">
      <c r="M721" s="52"/>
    </row>
    <row r="722" spans="13:13" ht="16.5" customHeight="1" x14ac:dyDescent="0.15">
      <c r="M722" s="52"/>
    </row>
    <row r="723" spans="13:13" ht="16.5" customHeight="1" x14ac:dyDescent="0.15">
      <c r="M723" s="52"/>
    </row>
    <row r="724" spans="13:13" ht="16.5" customHeight="1" x14ac:dyDescent="0.15">
      <c r="M724" s="52"/>
    </row>
  </sheetData>
  <mergeCells count="10">
    <mergeCell ref="A1:K1"/>
    <mergeCell ref="K3:K4"/>
    <mergeCell ref="H450:I450"/>
    <mergeCell ref="H448:I448"/>
    <mergeCell ref="A3:C3"/>
    <mergeCell ref="H3:J4"/>
    <mergeCell ref="F3:F4"/>
    <mergeCell ref="D3:D4"/>
    <mergeCell ref="G3:G4"/>
    <mergeCell ref="E3:E4"/>
  </mergeCells>
  <phoneticPr fontId="2" type="noConversion"/>
  <printOptions horizontalCentered="1"/>
  <pageMargins left="0.19685039370078741" right="0.19685039370078741" top="0.78740157480314965" bottom="0.59055118110236227" header="0.39370078740157483" footer="0.39370078740157483"/>
  <pageSetup paperSize="9" scale="90" orientation="landscape" horizontalDpi="300" verticalDpi="300" r:id="rId1"/>
  <headerFooter alignWithMargins="0">
    <oddFooter>&amp;C&amp;P</oddFooter>
  </headerFooter>
  <ignoredErrors>
    <ignoredError sqref="F9 F25 G494 G374 F171 F166:F168 F284 F279:F280 F332:G333 F286:F287 F301:G302 G273 F361:F364 G365 F379 F460:F461 F556:F557 F447:F448 F476:G476 F484 J488:J489 F493:F494 F704 F436:F439 F536:F537 F544:F546 F553 F527 F564 F607:F612 F601 J504 F584:G584 G574 G610 F38:F46 F30 F17 F275:F277 F293:F296 G288:G297 F267 F96:F97 F101:F102 F103:G103 F116:G116 F158 F160:F164 F176 F198 F174 F183:F187 F189:F194 F200 F205 F226 F210 F212 F214:F218 F220:F222 F228:F235 F237 F239:F241 F243:F244 F246 F255:F259 F251 F253 F262:F263 F269 F271:F273 G328 F367:F368 F372 F375:F377 F381:F382 F388 F390:F392 F19:F23 F27:F28 F590:G590 G591:G599 F404:F407 F423:F424 F409:F414 F420 G425 G414 G82 G145 G361 F655:F656 F676 F679:F690 G697 F692:F696 G6 F72:G72 F76 E50 G129 F336" formula="1"/>
    <ignoredError sqref="F16 F29 F172 F288:F292 F649:F652 F380 F465:F467 D584 F12:F13 F591:F599 F691" formula="1" formulaRange="1"/>
    <ignoredError sqref="F37 F326:F328 F653 G649:G653 F337:F338 F463:F464 F554 F542 F581 F317 F321 F700 D697 D145 D72 D50 D51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7"/>
  <sheetViews>
    <sheetView showGridLines="0" showRuler="0" zoomScale="80" zoomScaleNormal="80" zoomScalePageLayoutView="83" workbookViewId="0">
      <selection activeCell="E54" sqref="E54"/>
    </sheetView>
  </sheetViews>
  <sheetFormatPr defaultRowHeight="22.5" customHeight="1" x14ac:dyDescent="0.15"/>
  <cols>
    <col min="1" max="2" width="7.109375" style="3" customWidth="1"/>
    <col min="3" max="3" width="8.88671875" style="3"/>
    <col min="4" max="5" width="13.33203125" style="37" customWidth="1"/>
    <col min="6" max="6" width="13.33203125" style="80" customWidth="1"/>
    <col min="7" max="7" width="17.33203125" style="4" customWidth="1"/>
    <col min="8" max="8" width="18.6640625" style="38" customWidth="1"/>
    <col min="9" max="9" width="10.6640625" style="37" customWidth="1"/>
    <col min="10" max="10" width="11.44140625" style="37" customWidth="1"/>
    <col min="11" max="16384" width="8.88671875" style="22"/>
  </cols>
  <sheetData>
    <row r="1" spans="1:11" s="2" customFormat="1" ht="24.75" customHeight="1" x14ac:dyDescent="0.15">
      <c r="A1" s="431" t="s">
        <v>1262</v>
      </c>
      <c r="B1" s="431"/>
      <c r="C1" s="431"/>
      <c r="D1" s="431"/>
      <c r="E1" s="431"/>
      <c r="F1" s="431"/>
      <c r="G1" s="431"/>
      <c r="H1" s="431"/>
      <c r="I1" s="431"/>
      <c r="J1" s="431"/>
      <c r="K1" s="1"/>
    </row>
    <row r="2" spans="1:11" s="2" customFormat="1" ht="24.75" customHeight="1" x14ac:dyDescent="0.15">
      <c r="A2" s="3"/>
      <c r="B2" s="3"/>
      <c r="C2" s="3"/>
      <c r="D2" s="68"/>
      <c r="E2" s="68"/>
      <c r="F2" s="71"/>
      <c r="G2" s="4"/>
      <c r="H2" s="5"/>
      <c r="I2" s="67"/>
      <c r="J2" s="55" t="s">
        <v>954</v>
      </c>
      <c r="K2" s="1"/>
    </row>
    <row r="3" spans="1:11" s="2" customFormat="1" ht="16.5" customHeight="1" x14ac:dyDescent="0.15">
      <c r="A3" s="438" t="s">
        <v>955</v>
      </c>
      <c r="B3" s="439"/>
      <c r="C3" s="440"/>
      <c r="D3" s="447" t="s">
        <v>956</v>
      </c>
      <c r="E3" s="447" t="s">
        <v>957</v>
      </c>
      <c r="F3" s="432" t="s">
        <v>958</v>
      </c>
      <c r="G3" s="441" t="s">
        <v>959</v>
      </c>
      <c r="H3" s="442"/>
      <c r="I3" s="443"/>
      <c r="J3" s="432" t="s">
        <v>960</v>
      </c>
      <c r="K3" s="1"/>
    </row>
    <row r="4" spans="1:11" s="2" customFormat="1" ht="16.5" customHeight="1" thickBot="1" x14ac:dyDescent="0.2">
      <c r="A4" s="315" t="s">
        <v>961</v>
      </c>
      <c r="B4" s="316" t="s">
        <v>962</v>
      </c>
      <c r="C4" s="316" t="s">
        <v>963</v>
      </c>
      <c r="D4" s="449"/>
      <c r="E4" s="450"/>
      <c r="F4" s="451"/>
      <c r="G4" s="452"/>
      <c r="H4" s="453"/>
      <c r="I4" s="454"/>
      <c r="J4" s="451"/>
      <c r="K4" s="1"/>
    </row>
    <row r="5" spans="1:11" s="2" customFormat="1" ht="16.5" customHeight="1" thickBot="1" x14ac:dyDescent="0.2">
      <c r="A5" s="34" t="s">
        <v>964</v>
      </c>
      <c r="B5" s="34"/>
      <c r="C5" s="34"/>
      <c r="D5" s="47">
        <v>49939789</v>
      </c>
      <c r="E5" s="47">
        <v>91508846</v>
      </c>
      <c r="F5" s="248"/>
      <c r="G5" s="35"/>
      <c r="H5" s="48"/>
      <c r="I5" s="187"/>
      <c r="J5" s="47"/>
    </row>
    <row r="6" spans="1:11" ht="16.5" customHeight="1" thickBot="1" x14ac:dyDescent="0.2">
      <c r="A6" s="34" t="s">
        <v>965</v>
      </c>
      <c r="B6" s="34"/>
      <c r="C6" s="34"/>
      <c r="D6" s="249">
        <v>350000000</v>
      </c>
      <c r="E6" s="249">
        <v>211821800</v>
      </c>
      <c r="F6" s="320"/>
      <c r="G6" s="250"/>
      <c r="H6" s="251"/>
      <c r="I6" s="252"/>
      <c r="J6" s="249"/>
    </row>
    <row r="7" spans="1:11" s="2" customFormat="1" ht="16.5" customHeight="1" thickBot="1" x14ac:dyDescent="0.2">
      <c r="A7" s="316" t="s">
        <v>966</v>
      </c>
      <c r="B7" s="34"/>
      <c r="C7" s="34" t="s">
        <v>967</v>
      </c>
      <c r="D7" s="47">
        <f>D8+D35</f>
        <v>1548085500</v>
      </c>
      <c r="E7" s="47">
        <f>E8+E35</f>
        <v>1667659012</v>
      </c>
      <c r="F7" s="248"/>
      <c r="G7" s="250"/>
      <c r="H7" s="48"/>
      <c r="I7" s="187"/>
      <c r="J7" s="47"/>
    </row>
    <row r="8" spans="1:11" s="2" customFormat="1" ht="16.5" customHeight="1" x14ac:dyDescent="0.15">
      <c r="A8" s="316"/>
      <c r="B8" s="316" t="s">
        <v>968</v>
      </c>
      <c r="C8" s="6" t="s">
        <v>969</v>
      </c>
      <c r="D8" s="39">
        <f>SUM(D9:D34)</f>
        <v>1548085500</v>
      </c>
      <c r="E8" s="39">
        <f>SUM(E9:E34)</f>
        <v>1667659012</v>
      </c>
      <c r="F8" s="82"/>
      <c r="G8" s="314"/>
      <c r="H8" s="40"/>
      <c r="I8" s="169"/>
      <c r="J8" s="39"/>
    </row>
    <row r="9" spans="1:11" s="2" customFormat="1" ht="16.5" customHeight="1" x14ac:dyDescent="0.15">
      <c r="A9" s="316"/>
      <c r="B9" s="316" t="s">
        <v>970</v>
      </c>
      <c r="C9" s="316" t="s">
        <v>971</v>
      </c>
      <c r="D9" s="41">
        <v>92962400</v>
      </c>
      <c r="E9" s="41">
        <v>95424350</v>
      </c>
      <c r="F9" s="81"/>
      <c r="G9" s="29" t="s">
        <v>972</v>
      </c>
      <c r="H9" s="11"/>
      <c r="I9" s="171"/>
      <c r="J9" s="41"/>
    </row>
    <row r="10" spans="1:11" s="2" customFormat="1" ht="16.5" customHeight="1" x14ac:dyDescent="0.15">
      <c r="A10" s="316"/>
      <c r="B10" s="316"/>
      <c r="C10" s="316"/>
      <c r="D10" s="41">
        <v>6245800</v>
      </c>
      <c r="E10" s="41">
        <v>6767700</v>
      </c>
      <c r="F10" s="81"/>
      <c r="G10" s="29" t="s">
        <v>973</v>
      </c>
      <c r="H10" s="11"/>
      <c r="I10" s="171"/>
      <c r="J10" s="41"/>
    </row>
    <row r="11" spans="1:11" s="2" customFormat="1" ht="16.5" customHeight="1" x14ac:dyDescent="0.15">
      <c r="A11" s="316"/>
      <c r="B11" s="316"/>
      <c r="C11" s="12" t="s">
        <v>974</v>
      </c>
      <c r="D11" s="43">
        <v>24000000</v>
      </c>
      <c r="E11" s="43">
        <v>24000000</v>
      </c>
      <c r="F11" s="84"/>
      <c r="G11" s="13" t="s">
        <v>974</v>
      </c>
      <c r="H11" s="44"/>
      <c r="I11" s="168"/>
      <c r="J11" s="43"/>
    </row>
    <row r="12" spans="1:11" s="2" customFormat="1" ht="16.5" customHeight="1" x14ac:dyDescent="0.15">
      <c r="A12" s="316"/>
      <c r="B12" s="316"/>
      <c r="C12" s="315" t="s">
        <v>975</v>
      </c>
      <c r="D12" s="45">
        <v>606001000</v>
      </c>
      <c r="E12" s="45">
        <v>570330000</v>
      </c>
      <c r="F12" s="83"/>
      <c r="G12" s="28" t="s">
        <v>976</v>
      </c>
      <c r="H12" s="11"/>
      <c r="I12" s="171"/>
      <c r="J12" s="45"/>
    </row>
    <row r="13" spans="1:11" s="2" customFormat="1" ht="16.5" customHeight="1" x14ac:dyDescent="0.15">
      <c r="A13" s="316"/>
      <c r="B13" s="316"/>
      <c r="C13" s="316"/>
      <c r="D13" s="41">
        <v>16700000</v>
      </c>
      <c r="E13" s="41">
        <v>29548000</v>
      </c>
      <c r="F13" s="81"/>
      <c r="G13" s="29" t="s">
        <v>977</v>
      </c>
      <c r="H13" s="11"/>
      <c r="I13" s="171"/>
      <c r="J13" s="41"/>
    </row>
    <row r="14" spans="1:11" s="2" customFormat="1" ht="16.5" customHeight="1" x14ac:dyDescent="0.15">
      <c r="A14" s="316"/>
      <c r="B14" s="316"/>
      <c r="C14" s="316"/>
      <c r="D14" s="41"/>
      <c r="E14" s="41">
        <v>62761600</v>
      </c>
      <c r="F14" s="81"/>
      <c r="G14" s="29" t="s">
        <v>978</v>
      </c>
      <c r="H14" s="11"/>
      <c r="I14" s="171"/>
      <c r="J14" s="41"/>
    </row>
    <row r="15" spans="1:11" s="2" customFormat="1" ht="16.5" customHeight="1" x14ac:dyDescent="0.15">
      <c r="A15" s="316"/>
      <c r="B15" s="316"/>
      <c r="C15" s="316"/>
      <c r="D15" s="41">
        <v>187169000</v>
      </c>
      <c r="E15" s="41">
        <v>178747000</v>
      </c>
      <c r="F15" s="81"/>
      <c r="G15" s="29" t="s">
        <v>979</v>
      </c>
      <c r="H15" s="11"/>
      <c r="I15" s="171"/>
      <c r="J15" s="41"/>
    </row>
    <row r="16" spans="1:11" s="2" customFormat="1" ht="16.5" customHeight="1" x14ac:dyDescent="0.15">
      <c r="A16" s="316"/>
      <c r="B16" s="316"/>
      <c r="C16" s="316"/>
      <c r="D16" s="41">
        <v>21500000</v>
      </c>
      <c r="E16" s="41">
        <v>21780200</v>
      </c>
      <c r="F16" s="81"/>
      <c r="G16" s="29" t="s">
        <v>980</v>
      </c>
      <c r="H16" s="11"/>
      <c r="I16" s="171"/>
      <c r="J16" s="41"/>
    </row>
    <row r="17" spans="1:10" s="2" customFormat="1" ht="16.5" customHeight="1" x14ac:dyDescent="0.15">
      <c r="A17" s="316"/>
      <c r="B17" s="316"/>
      <c r="C17" s="316"/>
      <c r="D17" s="41"/>
      <c r="E17" s="41">
        <v>20511500</v>
      </c>
      <c r="F17" s="81"/>
      <c r="G17" s="29" t="s">
        <v>981</v>
      </c>
      <c r="H17" s="11"/>
      <c r="I17" s="171"/>
      <c r="J17" s="41"/>
    </row>
    <row r="18" spans="1:10" s="2" customFormat="1" ht="16.5" customHeight="1" x14ac:dyDescent="0.15">
      <c r="A18" s="316"/>
      <c r="B18" s="316"/>
      <c r="C18" s="316"/>
      <c r="D18" s="41"/>
      <c r="E18" s="41">
        <v>32436400</v>
      </c>
      <c r="F18" s="81"/>
      <c r="G18" s="29" t="s">
        <v>982</v>
      </c>
      <c r="H18" s="11"/>
      <c r="I18" s="171"/>
      <c r="J18" s="41"/>
    </row>
    <row r="19" spans="1:10" s="2" customFormat="1" ht="16.5" customHeight="1" x14ac:dyDescent="0.15">
      <c r="A19" s="316"/>
      <c r="B19" s="316"/>
      <c r="C19" s="315" t="s">
        <v>983</v>
      </c>
      <c r="D19" s="45">
        <v>30117000</v>
      </c>
      <c r="E19" s="45">
        <v>30114280</v>
      </c>
      <c r="F19" s="83"/>
      <c r="G19" s="15" t="s">
        <v>984</v>
      </c>
      <c r="H19" s="16"/>
      <c r="I19" s="321"/>
      <c r="J19" s="45"/>
    </row>
    <row r="20" spans="1:10" s="2" customFormat="1" ht="16.5" customHeight="1" x14ac:dyDescent="0.15">
      <c r="A20" s="316"/>
      <c r="B20" s="316"/>
      <c r="C20" s="316"/>
      <c r="D20" s="41">
        <v>70864000</v>
      </c>
      <c r="E20" s="41">
        <v>70864000</v>
      </c>
      <c r="F20" s="81"/>
      <c r="G20" s="10" t="s">
        <v>985</v>
      </c>
      <c r="H20" s="11"/>
      <c r="I20" s="171"/>
      <c r="J20" s="41"/>
    </row>
    <row r="21" spans="1:10" s="2" customFormat="1" ht="16.5" customHeight="1" x14ac:dyDescent="0.15">
      <c r="A21" s="316"/>
      <c r="B21" s="316"/>
      <c r="C21" s="316"/>
      <c r="D21" s="41">
        <v>65746000</v>
      </c>
      <c r="E21" s="41">
        <v>79746000</v>
      </c>
      <c r="F21" s="81"/>
      <c r="G21" s="10" t="s">
        <v>986</v>
      </c>
      <c r="H21" s="11"/>
      <c r="I21" s="171"/>
      <c r="J21" s="41"/>
    </row>
    <row r="22" spans="1:10" s="2" customFormat="1" ht="16.5" customHeight="1" x14ac:dyDescent="0.15">
      <c r="A22" s="316"/>
      <c r="B22" s="316"/>
      <c r="C22" s="315" t="s">
        <v>987</v>
      </c>
      <c r="D22" s="45">
        <v>83353000</v>
      </c>
      <c r="E22" s="45">
        <v>82883000</v>
      </c>
      <c r="F22" s="83"/>
      <c r="G22" s="15" t="s">
        <v>988</v>
      </c>
      <c r="H22" s="16"/>
      <c r="I22" s="321"/>
      <c r="J22" s="45"/>
    </row>
    <row r="23" spans="1:10" s="2" customFormat="1" ht="16.5" customHeight="1" x14ac:dyDescent="0.15">
      <c r="A23" s="316"/>
      <c r="B23" s="316"/>
      <c r="C23" s="6"/>
      <c r="D23" s="39">
        <v>46313300</v>
      </c>
      <c r="E23" s="39">
        <v>50415000</v>
      </c>
      <c r="F23" s="82"/>
      <c r="G23" s="8" t="s">
        <v>989</v>
      </c>
      <c r="H23" s="9"/>
      <c r="I23" s="172"/>
      <c r="J23" s="39"/>
    </row>
    <row r="24" spans="1:10" s="2" customFormat="1" ht="16.5" customHeight="1" x14ac:dyDescent="0.15">
      <c r="A24" s="316"/>
      <c r="B24" s="316"/>
      <c r="C24" s="316" t="s">
        <v>990</v>
      </c>
      <c r="D24" s="41">
        <v>196000000</v>
      </c>
      <c r="E24" s="41">
        <v>196000000</v>
      </c>
      <c r="F24" s="81"/>
      <c r="G24" s="10"/>
      <c r="H24" s="11"/>
      <c r="I24" s="171"/>
      <c r="J24" s="41"/>
    </row>
    <row r="25" spans="1:10" s="2" customFormat="1" ht="16.5" customHeight="1" x14ac:dyDescent="0.15">
      <c r="A25" s="316"/>
      <c r="B25" s="316"/>
      <c r="C25" s="6"/>
      <c r="D25" s="39"/>
      <c r="E25" s="39"/>
      <c r="F25" s="82"/>
      <c r="G25" s="8"/>
      <c r="H25" s="9"/>
      <c r="I25" s="172"/>
      <c r="J25" s="39"/>
    </row>
    <row r="26" spans="1:10" s="2" customFormat="1" ht="16.5" customHeight="1" x14ac:dyDescent="0.15">
      <c r="A26" s="316"/>
      <c r="B26" s="316"/>
      <c r="C26" s="316" t="s">
        <v>991</v>
      </c>
      <c r="D26" s="41">
        <v>3300000</v>
      </c>
      <c r="E26" s="41">
        <v>9445740</v>
      </c>
      <c r="F26" s="81"/>
      <c r="G26" s="10" t="s">
        <v>992</v>
      </c>
      <c r="H26" s="42"/>
      <c r="I26" s="170"/>
      <c r="J26" s="41"/>
    </row>
    <row r="27" spans="1:10" s="2" customFormat="1" ht="16.5" customHeight="1" x14ac:dyDescent="0.15">
      <c r="A27" s="316"/>
      <c r="B27" s="316"/>
      <c r="C27" s="316" t="s">
        <v>993</v>
      </c>
      <c r="D27" s="41">
        <v>8100000</v>
      </c>
      <c r="E27" s="41">
        <v>11022000</v>
      </c>
      <c r="F27" s="81"/>
      <c r="G27" s="10" t="s">
        <v>994</v>
      </c>
      <c r="H27" s="40"/>
      <c r="I27" s="169"/>
      <c r="J27" s="41"/>
    </row>
    <row r="28" spans="1:10" s="2" customFormat="1" ht="16.5" customHeight="1" x14ac:dyDescent="0.15">
      <c r="A28" s="316"/>
      <c r="B28" s="316"/>
      <c r="C28" s="315" t="s">
        <v>995</v>
      </c>
      <c r="D28" s="45">
        <v>47425500</v>
      </c>
      <c r="E28" s="45">
        <v>44128000</v>
      </c>
      <c r="F28" s="83"/>
      <c r="G28" s="15" t="s">
        <v>996</v>
      </c>
      <c r="H28" s="42"/>
      <c r="I28" s="170"/>
      <c r="J28" s="45"/>
    </row>
    <row r="29" spans="1:10" s="2" customFormat="1" ht="16.5" customHeight="1" x14ac:dyDescent="0.15">
      <c r="A29" s="316"/>
      <c r="B29" s="316"/>
      <c r="C29" s="6"/>
      <c r="D29" s="39"/>
      <c r="E29" s="39"/>
      <c r="F29" s="82"/>
      <c r="G29" s="314"/>
      <c r="H29" s="40"/>
      <c r="I29" s="169"/>
      <c r="J29" s="39"/>
    </row>
    <row r="30" spans="1:10" s="2" customFormat="1" ht="16.5" customHeight="1" x14ac:dyDescent="0.15">
      <c r="A30" s="316"/>
      <c r="B30" s="316"/>
      <c r="C30" s="316" t="s">
        <v>997</v>
      </c>
      <c r="D30" s="41">
        <v>3265400</v>
      </c>
      <c r="E30" s="41">
        <v>6417100</v>
      </c>
      <c r="F30" s="81"/>
      <c r="G30" s="10" t="s">
        <v>998</v>
      </c>
      <c r="H30" s="42"/>
      <c r="I30" s="170"/>
      <c r="J30" s="41"/>
    </row>
    <row r="31" spans="1:10" s="2" customFormat="1" ht="16.5" customHeight="1" x14ac:dyDescent="0.15">
      <c r="A31" s="316"/>
      <c r="B31" s="316"/>
      <c r="C31" s="316"/>
      <c r="D31" s="41">
        <v>4063100</v>
      </c>
      <c r="E31" s="41">
        <v>3721900</v>
      </c>
      <c r="F31" s="81"/>
      <c r="G31" s="10" t="s">
        <v>999</v>
      </c>
      <c r="H31" s="42"/>
      <c r="I31" s="170"/>
      <c r="J31" s="41"/>
    </row>
    <row r="32" spans="1:10" s="2" customFormat="1" ht="16.5" customHeight="1" x14ac:dyDescent="0.15">
      <c r="A32" s="316"/>
      <c r="B32" s="316"/>
      <c r="C32" s="316"/>
      <c r="D32" s="41">
        <v>20340000</v>
      </c>
      <c r="E32" s="41">
        <v>22460000</v>
      </c>
      <c r="F32" s="81"/>
      <c r="G32" s="10" t="s">
        <v>1000</v>
      </c>
      <c r="H32" s="42"/>
      <c r="I32" s="170"/>
      <c r="J32" s="41"/>
    </row>
    <row r="33" spans="1:10" s="2" customFormat="1" ht="16.5" customHeight="1" x14ac:dyDescent="0.15">
      <c r="A33" s="316"/>
      <c r="B33" s="316"/>
      <c r="C33" s="316"/>
      <c r="D33" s="41">
        <v>14620000</v>
      </c>
      <c r="E33" s="41">
        <v>14220000</v>
      </c>
      <c r="F33" s="81"/>
      <c r="G33" s="10" t="s">
        <v>1001</v>
      </c>
      <c r="H33" s="42"/>
      <c r="I33" s="170"/>
      <c r="J33" s="41"/>
    </row>
    <row r="34" spans="1:10" s="2" customFormat="1" ht="16.5" customHeight="1" x14ac:dyDescent="0.15">
      <c r="A34" s="316"/>
      <c r="B34" s="316"/>
      <c r="C34" s="316"/>
      <c r="D34" s="41"/>
      <c r="E34" s="41">
        <v>3915242</v>
      </c>
      <c r="F34" s="81"/>
      <c r="G34" s="10" t="s">
        <v>1002</v>
      </c>
      <c r="H34" s="367"/>
      <c r="I34" s="367"/>
      <c r="J34" s="41"/>
    </row>
    <row r="35" spans="1:10" s="2" customFormat="1" ht="16.5" customHeight="1" x14ac:dyDescent="0.15">
      <c r="A35" s="316"/>
      <c r="B35" s="315" t="s">
        <v>1003</v>
      </c>
      <c r="C35" s="12" t="s">
        <v>1004</v>
      </c>
      <c r="D35" s="43"/>
      <c r="E35" s="43"/>
      <c r="F35" s="84"/>
      <c r="G35" s="13"/>
      <c r="H35" s="44"/>
      <c r="I35" s="168"/>
      <c r="J35" s="43"/>
    </row>
    <row r="36" spans="1:10" s="2" customFormat="1" ht="16.5" customHeight="1" thickBot="1" x14ac:dyDescent="0.2">
      <c r="A36" s="316"/>
      <c r="B36" s="316"/>
      <c r="C36" s="315" t="s">
        <v>1005</v>
      </c>
      <c r="D36" s="45"/>
      <c r="E36" s="45"/>
      <c r="F36" s="81"/>
      <c r="G36" s="15"/>
      <c r="H36" s="46"/>
      <c r="I36" s="173"/>
      <c r="J36" s="45"/>
    </row>
    <row r="37" spans="1:10" s="2" customFormat="1" ht="16.5" customHeight="1" thickBot="1" x14ac:dyDescent="0.2">
      <c r="A37" s="145" t="s">
        <v>1006</v>
      </c>
      <c r="B37" s="34"/>
      <c r="C37" s="34" t="s">
        <v>1007</v>
      </c>
      <c r="D37" s="47">
        <f>D38+D41+D51</f>
        <v>232544870</v>
      </c>
      <c r="E37" s="47">
        <f>E38+E41+E48+E51</f>
        <v>395102924</v>
      </c>
      <c r="F37" s="47"/>
      <c r="G37" s="35"/>
      <c r="H37" s="48"/>
      <c r="I37" s="187"/>
      <c r="J37" s="47"/>
    </row>
    <row r="38" spans="1:10" s="2" customFormat="1" ht="16.5" customHeight="1" x14ac:dyDescent="0.15">
      <c r="A38" s="316"/>
      <c r="B38" s="316" t="s">
        <v>1008</v>
      </c>
      <c r="C38" s="6" t="s">
        <v>1004</v>
      </c>
      <c r="D38" s="39">
        <f>SUM(D39:D40)</f>
        <v>46152770</v>
      </c>
      <c r="E38" s="39">
        <f>SUM(E39:E40)</f>
        <v>54102944</v>
      </c>
      <c r="F38" s="82"/>
      <c r="G38" s="8"/>
      <c r="H38" s="40"/>
      <c r="I38" s="169"/>
      <c r="J38" s="39"/>
    </row>
    <row r="39" spans="1:10" s="2" customFormat="1" ht="16.5" customHeight="1" x14ac:dyDescent="0.15">
      <c r="A39" s="316"/>
      <c r="B39" s="316" t="s">
        <v>1009</v>
      </c>
      <c r="C39" s="12" t="s">
        <v>1010</v>
      </c>
      <c r="D39" s="43">
        <v>22409060</v>
      </c>
      <c r="E39" s="43">
        <v>26493980</v>
      </c>
      <c r="F39" s="84"/>
      <c r="G39" s="13" t="s">
        <v>1011</v>
      </c>
      <c r="H39" s="44"/>
      <c r="I39" s="168"/>
      <c r="J39" s="43"/>
    </row>
    <row r="40" spans="1:10" s="2" customFormat="1" ht="16.5" customHeight="1" x14ac:dyDescent="0.15">
      <c r="A40" s="316"/>
      <c r="B40" s="316"/>
      <c r="C40" s="316" t="s">
        <v>1012</v>
      </c>
      <c r="D40" s="41">
        <v>23743710</v>
      </c>
      <c r="E40" s="41">
        <v>27608964</v>
      </c>
      <c r="F40" s="26"/>
      <c r="G40" s="10" t="s">
        <v>1013</v>
      </c>
      <c r="H40" s="42"/>
      <c r="I40" s="170"/>
      <c r="J40" s="41"/>
    </row>
    <row r="41" spans="1:10" s="2" customFormat="1" ht="16.5" customHeight="1" x14ac:dyDescent="0.15">
      <c r="A41" s="316"/>
      <c r="B41" s="315" t="s">
        <v>1014</v>
      </c>
      <c r="C41" s="12" t="s">
        <v>1015</v>
      </c>
      <c r="D41" s="43">
        <f>SUM(D42:D47)</f>
        <v>177141000</v>
      </c>
      <c r="E41" s="43">
        <f>SUM(E42:E47)</f>
        <v>328082150</v>
      </c>
      <c r="F41" s="84"/>
      <c r="G41" s="13"/>
      <c r="H41" s="44"/>
      <c r="I41" s="168"/>
      <c r="J41" s="43"/>
    </row>
    <row r="42" spans="1:10" s="2" customFormat="1" ht="16.5" customHeight="1" x14ac:dyDescent="0.15">
      <c r="A42" s="316"/>
      <c r="B42" s="316"/>
      <c r="C42" s="316" t="s">
        <v>1016</v>
      </c>
      <c r="D42" s="41">
        <v>25000000</v>
      </c>
      <c r="E42" s="41">
        <v>25000000</v>
      </c>
      <c r="F42" s="81"/>
      <c r="G42" s="10" t="s">
        <v>1017</v>
      </c>
      <c r="H42" s="42"/>
      <c r="I42" s="170"/>
      <c r="J42" s="41"/>
    </row>
    <row r="43" spans="1:10" s="2" customFormat="1" ht="16.5" customHeight="1" x14ac:dyDescent="0.15">
      <c r="A43" s="316"/>
      <c r="B43" s="316"/>
      <c r="C43" s="155"/>
      <c r="D43" s="41">
        <v>33000000</v>
      </c>
      <c r="E43" s="41">
        <v>33000000</v>
      </c>
      <c r="F43" s="81"/>
      <c r="G43" s="10" t="s">
        <v>1018</v>
      </c>
      <c r="H43" s="42"/>
      <c r="I43" s="170"/>
      <c r="J43" s="41"/>
    </row>
    <row r="44" spans="1:10" s="2" customFormat="1" ht="16.5" customHeight="1" x14ac:dyDescent="0.15">
      <c r="A44" s="316"/>
      <c r="B44" s="316"/>
      <c r="C44" s="316"/>
      <c r="D44" s="41">
        <v>45000000</v>
      </c>
      <c r="E44" s="41">
        <v>103321870</v>
      </c>
      <c r="F44" s="81"/>
      <c r="G44" s="10" t="s">
        <v>1019</v>
      </c>
      <c r="H44" s="42"/>
      <c r="I44" s="170"/>
      <c r="J44" s="41"/>
    </row>
    <row r="45" spans="1:10" s="2" customFormat="1" ht="16.5" customHeight="1" x14ac:dyDescent="0.15">
      <c r="A45" s="316"/>
      <c r="B45" s="316"/>
      <c r="C45" s="155"/>
      <c r="D45" s="41">
        <v>40000000</v>
      </c>
      <c r="E45" s="41">
        <v>40000000</v>
      </c>
      <c r="F45" s="81"/>
      <c r="G45" s="10" t="s">
        <v>1020</v>
      </c>
      <c r="H45" s="42"/>
      <c r="I45" s="170"/>
      <c r="J45" s="41"/>
    </row>
    <row r="46" spans="1:10" s="2" customFormat="1" ht="16.5" customHeight="1" x14ac:dyDescent="0.15">
      <c r="A46" s="316"/>
      <c r="B46" s="316"/>
      <c r="C46" s="155"/>
      <c r="D46" s="41">
        <v>34141000</v>
      </c>
      <c r="E46" s="41">
        <v>29976070</v>
      </c>
      <c r="F46" s="26"/>
      <c r="G46" s="10" t="s">
        <v>1021</v>
      </c>
      <c r="H46" s="42"/>
      <c r="I46" s="170"/>
      <c r="J46" s="41"/>
    </row>
    <row r="47" spans="1:10" s="2" customFormat="1" ht="16.5" customHeight="1" x14ac:dyDescent="0.15">
      <c r="A47" s="316"/>
      <c r="B47" s="316"/>
      <c r="C47" s="155"/>
      <c r="D47" s="41"/>
      <c r="E47" s="41">
        <v>96784210</v>
      </c>
      <c r="F47" s="26"/>
      <c r="G47" s="10" t="s">
        <v>1022</v>
      </c>
      <c r="H47" s="42"/>
      <c r="I47" s="170"/>
      <c r="J47" s="41"/>
    </row>
    <row r="48" spans="1:10" s="2" customFormat="1" ht="16.5" customHeight="1" x14ac:dyDescent="0.15">
      <c r="A48" s="316"/>
      <c r="B48" s="316"/>
      <c r="C48" s="12" t="s">
        <v>1023</v>
      </c>
      <c r="D48" s="43">
        <f>SUM(D49:D50)</f>
        <v>0</v>
      </c>
      <c r="E48" s="43">
        <f>SUM(E49:E50)</f>
        <v>4000000</v>
      </c>
      <c r="F48" s="51"/>
      <c r="G48" s="13"/>
      <c r="H48" s="44"/>
      <c r="I48" s="168"/>
      <c r="J48" s="43"/>
    </row>
    <row r="49" spans="1:10" s="2" customFormat="1" ht="16.5" customHeight="1" x14ac:dyDescent="0.15">
      <c r="A49" s="316"/>
      <c r="B49" s="316"/>
      <c r="C49" s="316" t="s">
        <v>1024</v>
      </c>
      <c r="D49" s="41"/>
      <c r="E49" s="41">
        <v>4000000</v>
      </c>
      <c r="F49" s="26"/>
      <c r="G49" s="10" t="s">
        <v>1025</v>
      </c>
      <c r="H49" s="42"/>
      <c r="I49" s="170"/>
      <c r="J49" s="41"/>
    </row>
    <row r="50" spans="1:10" s="2" customFormat="1" ht="16.5" customHeight="1" x14ac:dyDescent="0.15">
      <c r="A50" s="316"/>
      <c r="B50" s="316"/>
      <c r="C50" s="155" t="s">
        <v>1026</v>
      </c>
      <c r="D50" s="41"/>
      <c r="E50" s="41"/>
      <c r="F50" s="26"/>
      <c r="G50" s="10"/>
      <c r="H50" s="42"/>
      <c r="I50" s="170"/>
      <c r="J50" s="41"/>
    </row>
    <row r="51" spans="1:10" s="2" customFormat="1" ht="16.5" customHeight="1" x14ac:dyDescent="0.15">
      <c r="A51" s="316"/>
      <c r="B51" s="316"/>
      <c r="C51" s="12" t="s">
        <v>1023</v>
      </c>
      <c r="D51" s="43">
        <f>SUM(D52:D53)</f>
        <v>9251100</v>
      </c>
      <c r="E51" s="43">
        <f>SUM(E52:E53)</f>
        <v>8917830</v>
      </c>
      <c r="F51" s="84"/>
      <c r="G51" s="13"/>
      <c r="H51" s="44"/>
      <c r="I51" s="168"/>
      <c r="J51" s="43"/>
    </row>
    <row r="52" spans="1:10" s="2" customFormat="1" ht="16.5" customHeight="1" x14ac:dyDescent="0.15">
      <c r="A52" s="316"/>
      <c r="B52" s="316"/>
      <c r="C52" s="315" t="s">
        <v>1027</v>
      </c>
      <c r="D52" s="45">
        <v>9251100</v>
      </c>
      <c r="E52" s="45">
        <v>8917830</v>
      </c>
      <c r="F52" s="83"/>
      <c r="G52" s="15" t="s">
        <v>1028</v>
      </c>
      <c r="H52" s="46"/>
      <c r="I52" s="173"/>
      <c r="J52" s="45"/>
    </row>
    <row r="53" spans="1:10" s="2" customFormat="1" ht="16.5" customHeight="1" thickBot="1" x14ac:dyDescent="0.2">
      <c r="A53" s="316"/>
      <c r="B53" s="316"/>
      <c r="C53" s="6" t="s">
        <v>1029</v>
      </c>
      <c r="D53" s="39"/>
      <c r="E53" s="39"/>
      <c r="F53" s="82"/>
      <c r="G53" s="8"/>
      <c r="H53" s="40"/>
      <c r="I53" s="169"/>
      <c r="J53" s="39"/>
    </row>
    <row r="54" spans="1:10" s="2" customFormat="1" ht="16.5" customHeight="1" thickBot="1" x14ac:dyDescent="0.2">
      <c r="A54" s="145" t="s">
        <v>1030</v>
      </c>
      <c r="B54" s="34"/>
      <c r="C54" s="34" t="s">
        <v>1031</v>
      </c>
      <c r="D54" s="47">
        <f>SUM(D55:D56)</f>
        <v>0</v>
      </c>
      <c r="E54" s="47">
        <f>SUM(E55:E56)</f>
        <v>4000000</v>
      </c>
      <c r="F54" s="248"/>
      <c r="G54" s="35"/>
      <c r="H54" s="48"/>
      <c r="I54" s="187"/>
      <c r="J54" s="47"/>
    </row>
    <row r="55" spans="1:10" s="2" customFormat="1" ht="16.5" customHeight="1" x14ac:dyDescent="0.15">
      <c r="A55" s="316"/>
      <c r="B55" s="316" t="s">
        <v>1030</v>
      </c>
      <c r="C55" s="145" t="s">
        <v>1030</v>
      </c>
      <c r="D55" s="368"/>
      <c r="E55" s="368">
        <v>2000000</v>
      </c>
      <c r="F55" s="369"/>
      <c r="G55" s="370" t="s">
        <v>1032</v>
      </c>
      <c r="H55" s="371"/>
      <c r="I55" s="372"/>
      <c r="J55" s="368"/>
    </row>
    <row r="56" spans="1:10" s="2" customFormat="1" ht="16.5" customHeight="1" thickBot="1" x14ac:dyDescent="0.2">
      <c r="A56" s="317"/>
      <c r="B56" s="317"/>
      <c r="C56" s="317"/>
      <c r="D56" s="373"/>
      <c r="E56" s="373">
        <v>2000000</v>
      </c>
      <c r="F56" s="374"/>
      <c r="G56" s="152" t="s">
        <v>1033</v>
      </c>
      <c r="H56" s="375"/>
      <c r="I56" s="376"/>
      <c r="J56" s="373"/>
    </row>
    <row r="57" spans="1:10" s="2" customFormat="1" ht="16.5" customHeight="1" thickBot="1" x14ac:dyDescent="0.2">
      <c r="A57" s="316" t="s">
        <v>1034</v>
      </c>
      <c r="B57" s="377"/>
      <c r="C57" s="318" t="s">
        <v>1031</v>
      </c>
      <c r="D57" s="47">
        <f>SUM(D58:D59)</f>
        <v>0</v>
      </c>
      <c r="E57" s="47">
        <f>SUM(E58:E59)</f>
        <v>9450000</v>
      </c>
      <c r="F57" s="248"/>
      <c r="G57" s="35"/>
      <c r="H57" s="48"/>
      <c r="I57" s="187"/>
      <c r="J57" s="47"/>
    </row>
    <row r="58" spans="1:10" s="2" customFormat="1" ht="16.5" customHeight="1" x14ac:dyDescent="0.15">
      <c r="A58" s="316"/>
      <c r="B58" s="378" t="s">
        <v>1034</v>
      </c>
      <c r="C58" s="379" t="s">
        <v>1034</v>
      </c>
      <c r="D58" s="368"/>
      <c r="E58" s="368">
        <v>5700000</v>
      </c>
      <c r="F58" s="369"/>
      <c r="G58" s="370" t="s">
        <v>1035</v>
      </c>
      <c r="H58" s="371"/>
      <c r="I58" s="372"/>
      <c r="J58" s="368"/>
    </row>
    <row r="59" spans="1:10" s="2" customFormat="1" ht="16.5" customHeight="1" thickBot="1" x14ac:dyDescent="0.2">
      <c r="A59" s="316"/>
      <c r="B59" s="380"/>
      <c r="C59" s="381"/>
      <c r="D59" s="373"/>
      <c r="E59" s="373">
        <v>3750000</v>
      </c>
      <c r="F59" s="382"/>
      <c r="G59" s="152" t="s">
        <v>1036</v>
      </c>
      <c r="H59" s="375"/>
      <c r="I59" s="376"/>
      <c r="J59" s="373"/>
    </row>
    <row r="60" spans="1:10" s="2" customFormat="1" ht="16.5" customHeight="1" thickBot="1" x14ac:dyDescent="0.2">
      <c r="A60" s="34" t="s">
        <v>1037</v>
      </c>
      <c r="B60" s="318"/>
      <c r="C60" s="318" t="s">
        <v>1038</v>
      </c>
      <c r="D60" s="47"/>
      <c r="E60" s="47">
        <v>171575</v>
      </c>
      <c r="F60" s="248"/>
      <c r="G60" s="35"/>
      <c r="H60" s="48"/>
      <c r="I60" s="187"/>
      <c r="J60" s="47"/>
    </row>
    <row r="61" spans="1:10" s="2" customFormat="1" ht="16.5" customHeight="1" x14ac:dyDescent="0.15">
      <c r="A61" s="316" t="s">
        <v>1039</v>
      </c>
      <c r="B61" s="92"/>
      <c r="C61" s="316" t="s">
        <v>1039</v>
      </c>
      <c r="D61" s="41">
        <v>2400000</v>
      </c>
      <c r="E61" s="41">
        <v>2220000</v>
      </c>
      <c r="F61" s="81"/>
      <c r="G61" s="10" t="s">
        <v>1040</v>
      </c>
      <c r="H61" s="42"/>
      <c r="I61" s="170"/>
      <c r="J61" s="41"/>
    </row>
    <row r="62" spans="1:10" s="2" customFormat="1" ht="16.5" customHeight="1" x14ac:dyDescent="0.15">
      <c r="A62" s="316"/>
      <c r="B62" s="92"/>
      <c r="C62" s="316"/>
      <c r="D62" s="41"/>
      <c r="E62" s="41">
        <v>8903470</v>
      </c>
      <c r="F62" s="81"/>
      <c r="G62" s="10" t="s">
        <v>1041</v>
      </c>
      <c r="H62" s="42"/>
      <c r="I62" s="170"/>
      <c r="J62" s="41"/>
    </row>
    <row r="63" spans="1:10" s="2" customFormat="1" ht="16.5" customHeight="1" x14ac:dyDescent="0.15">
      <c r="A63" s="316"/>
      <c r="B63" s="92"/>
      <c r="C63" s="316"/>
      <c r="D63" s="41"/>
      <c r="E63" s="41">
        <v>14400000</v>
      </c>
      <c r="F63" s="81"/>
      <c r="G63" s="10" t="s">
        <v>1042</v>
      </c>
      <c r="H63" s="42"/>
      <c r="I63" s="170"/>
      <c r="J63" s="41"/>
    </row>
    <row r="64" spans="1:10" s="2" customFormat="1" ht="16.5" customHeight="1" thickBot="1" x14ac:dyDescent="0.2">
      <c r="A64" s="316"/>
      <c r="B64" s="92"/>
      <c r="C64" s="316"/>
      <c r="D64" s="41"/>
      <c r="E64" s="41">
        <v>14286061</v>
      </c>
      <c r="F64" s="81"/>
      <c r="G64" s="10" t="s">
        <v>1043</v>
      </c>
      <c r="H64" s="42"/>
      <c r="I64" s="170"/>
      <c r="J64" s="41"/>
    </row>
    <row r="65" spans="1:10" s="2" customFormat="1" ht="16.5" customHeight="1" thickBot="1" x14ac:dyDescent="0.2">
      <c r="A65" s="33" t="s">
        <v>1044</v>
      </c>
      <c r="B65" s="318"/>
      <c r="C65" s="319"/>
      <c r="D65" s="47">
        <f>D5+D6+D7+D37+D54+D60+D61</f>
        <v>2182970159</v>
      </c>
      <c r="E65" s="47">
        <f>E5+E6+E7+E37+E54+E57+E60+E61+E62+E63+E64</f>
        <v>2419523688</v>
      </c>
      <c r="F65" s="47"/>
      <c r="G65" s="35"/>
      <c r="H65" s="48"/>
      <c r="I65" s="187"/>
      <c r="J65" s="186"/>
    </row>
    <row r="66" spans="1:10" s="2" customFormat="1" ht="22.5" customHeight="1" x14ac:dyDescent="0.15">
      <c r="A66" s="23"/>
      <c r="B66" s="23"/>
      <c r="C66" s="23"/>
      <c r="D66" s="49"/>
      <c r="E66" s="49"/>
      <c r="F66" s="85"/>
      <c r="G66" s="50"/>
      <c r="H66" s="42"/>
      <c r="I66" s="49"/>
      <c r="J66" s="49"/>
    </row>
    <row r="67" spans="1:10" s="2" customFormat="1" ht="22.5" customHeight="1" x14ac:dyDescent="0.15">
      <c r="A67" s="23"/>
      <c r="B67" s="23"/>
      <c r="C67" s="23"/>
      <c r="D67" s="49"/>
      <c r="E67" s="49"/>
      <c r="F67" s="85"/>
      <c r="G67" s="50"/>
      <c r="H67" s="42"/>
      <c r="I67" s="49"/>
      <c r="J67" s="49"/>
    </row>
    <row r="68" spans="1:10" s="2" customFormat="1" ht="22.5" customHeight="1" x14ac:dyDescent="0.15">
      <c r="A68" s="23"/>
      <c r="B68" s="23"/>
      <c r="C68" s="23"/>
      <c r="D68" s="49"/>
      <c r="E68" s="49"/>
      <c r="F68" s="85"/>
      <c r="G68" s="50"/>
      <c r="H68" s="42"/>
      <c r="I68" s="49"/>
      <c r="J68" s="49"/>
    </row>
    <row r="69" spans="1:10" s="2" customFormat="1" ht="22.5" customHeight="1" x14ac:dyDescent="0.15">
      <c r="A69" s="23"/>
      <c r="B69" s="23"/>
      <c r="C69" s="23"/>
      <c r="D69" s="49"/>
      <c r="E69" s="49"/>
      <c r="F69" s="85"/>
      <c r="G69" s="50"/>
      <c r="H69" s="42"/>
      <c r="I69" s="49"/>
      <c r="J69" s="49"/>
    </row>
    <row r="70" spans="1:10" s="2" customFormat="1" ht="22.5" customHeight="1" x14ac:dyDescent="0.15">
      <c r="A70" s="23"/>
      <c r="B70" s="23"/>
      <c r="C70" s="23"/>
      <c r="D70" s="49"/>
      <c r="E70" s="49"/>
      <c r="F70" s="85"/>
      <c r="G70" s="50"/>
      <c r="H70" s="42"/>
      <c r="I70" s="49"/>
      <c r="J70" s="49"/>
    </row>
    <row r="71" spans="1:10" s="2" customFormat="1" ht="22.5" customHeight="1" x14ac:dyDescent="0.15">
      <c r="A71" s="23"/>
      <c r="B71" s="23"/>
      <c r="C71" s="23"/>
      <c r="D71" s="49"/>
      <c r="E71" s="49"/>
      <c r="F71" s="85"/>
      <c r="G71" s="50"/>
      <c r="H71" s="42"/>
      <c r="I71" s="49"/>
      <c r="J71" s="49"/>
    </row>
    <row r="72" spans="1:10" s="2" customFormat="1" ht="22.5" customHeight="1" x14ac:dyDescent="0.15">
      <c r="A72" s="23"/>
      <c r="B72" s="23"/>
      <c r="C72" s="23"/>
      <c r="D72" s="49"/>
      <c r="E72" s="49"/>
      <c r="F72" s="85"/>
      <c r="G72" s="50"/>
      <c r="H72" s="42"/>
      <c r="I72" s="49"/>
      <c r="J72" s="49"/>
    </row>
    <row r="73" spans="1:10" s="2" customFormat="1" ht="22.5" customHeight="1" x14ac:dyDescent="0.15">
      <c r="A73" s="23"/>
      <c r="B73" s="23"/>
      <c r="C73" s="23"/>
      <c r="D73" s="49"/>
      <c r="E73" s="49"/>
      <c r="F73" s="85"/>
      <c r="G73" s="50"/>
      <c r="H73" s="42"/>
      <c r="I73" s="49"/>
      <c r="J73" s="49"/>
    </row>
    <row r="74" spans="1:10" s="2" customFormat="1" ht="22.5" customHeight="1" x14ac:dyDescent="0.15">
      <c r="A74" s="23"/>
      <c r="B74" s="23"/>
      <c r="C74" s="23"/>
      <c r="D74" s="49"/>
      <c r="E74" s="49"/>
      <c r="F74" s="85"/>
      <c r="G74" s="50"/>
      <c r="H74" s="42"/>
      <c r="I74" s="49"/>
      <c r="J74" s="49"/>
    </row>
    <row r="75" spans="1:10" s="2" customFormat="1" ht="22.5" customHeight="1" x14ac:dyDescent="0.15">
      <c r="A75" s="23"/>
      <c r="B75" s="23"/>
      <c r="C75" s="23"/>
      <c r="D75" s="49"/>
      <c r="E75" s="49"/>
      <c r="F75" s="85"/>
      <c r="G75" s="50"/>
      <c r="H75" s="42"/>
      <c r="I75" s="49"/>
      <c r="J75" s="49"/>
    </row>
    <row r="76" spans="1:10" s="2" customFormat="1" ht="22.5" customHeight="1" x14ac:dyDescent="0.15">
      <c r="A76" s="23"/>
      <c r="B76" s="23"/>
      <c r="C76" s="23"/>
      <c r="D76" s="49"/>
      <c r="E76" s="49"/>
      <c r="F76" s="85"/>
      <c r="G76" s="50"/>
      <c r="H76" s="42"/>
      <c r="I76" s="49"/>
      <c r="J76" s="49"/>
    </row>
    <row r="77" spans="1:10" s="2" customFormat="1" ht="22.5" customHeight="1" x14ac:dyDescent="0.15">
      <c r="A77" s="23"/>
      <c r="B77" s="23"/>
      <c r="C77" s="23"/>
      <c r="D77" s="49"/>
      <c r="E77" s="49"/>
      <c r="F77" s="85"/>
      <c r="G77" s="50"/>
      <c r="H77" s="42"/>
      <c r="I77" s="49"/>
      <c r="J77" s="49"/>
    </row>
    <row r="78" spans="1:10" s="2" customFormat="1" ht="22.5" customHeight="1" x14ac:dyDescent="0.15">
      <c r="A78" s="23"/>
      <c r="B78" s="23"/>
      <c r="C78" s="23"/>
      <c r="D78" s="49"/>
      <c r="E78" s="49"/>
      <c r="F78" s="85"/>
      <c r="G78" s="50"/>
      <c r="H78" s="42"/>
      <c r="I78" s="49"/>
      <c r="J78" s="49"/>
    </row>
    <row r="79" spans="1:10" s="2" customFormat="1" ht="22.5" customHeight="1" x14ac:dyDescent="0.15">
      <c r="A79" s="23"/>
      <c r="B79" s="23"/>
      <c r="C79" s="23"/>
      <c r="D79" s="49"/>
      <c r="E79" s="49"/>
      <c r="F79" s="85"/>
      <c r="G79" s="50"/>
      <c r="H79" s="42"/>
      <c r="I79" s="49"/>
      <c r="J79" s="49"/>
    </row>
    <row r="80" spans="1:10" s="2" customFormat="1" ht="22.5" customHeight="1" x14ac:dyDescent="0.15">
      <c r="A80" s="23"/>
      <c r="B80" s="23"/>
      <c r="C80" s="23"/>
      <c r="D80" s="49"/>
      <c r="E80" s="49"/>
      <c r="F80" s="85"/>
      <c r="G80" s="50"/>
      <c r="H80" s="42"/>
      <c r="I80" s="49"/>
      <c r="J80" s="49"/>
    </row>
    <row r="81" spans="1:10" s="2" customFormat="1" ht="22.5" customHeight="1" x14ac:dyDescent="0.15">
      <c r="A81" s="23"/>
      <c r="B81" s="23"/>
      <c r="C81" s="23"/>
      <c r="D81" s="49"/>
      <c r="E81" s="49"/>
      <c r="F81" s="85"/>
      <c r="G81" s="50"/>
      <c r="H81" s="42"/>
      <c r="I81" s="49"/>
      <c r="J81" s="49"/>
    </row>
    <row r="82" spans="1:10" s="2" customFormat="1" ht="22.5" customHeight="1" x14ac:dyDescent="0.15">
      <c r="A82" s="23"/>
      <c r="B82" s="23"/>
      <c r="C82" s="23"/>
      <c r="D82" s="49"/>
      <c r="E82" s="49"/>
      <c r="F82" s="85"/>
      <c r="G82" s="50"/>
      <c r="H82" s="42"/>
      <c r="I82" s="49"/>
      <c r="J82" s="49"/>
    </row>
    <row r="83" spans="1:10" s="2" customFormat="1" ht="22.5" customHeight="1" x14ac:dyDescent="0.15">
      <c r="A83" s="23"/>
      <c r="B83" s="23"/>
      <c r="C83" s="23"/>
      <c r="D83" s="49"/>
      <c r="E83" s="49"/>
      <c r="F83" s="85"/>
      <c r="G83" s="50"/>
      <c r="H83" s="42"/>
      <c r="I83" s="49"/>
      <c r="J83" s="49"/>
    </row>
    <row r="84" spans="1:10" s="2" customFormat="1" ht="22.5" customHeight="1" x14ac:dyDescent="0.15">
      <c r="A84" s="23"/>
      <c r="B84" s="23"/>
      <c r="C84" s="23"/>
      <c r="D84" s="49"/>
      <c r="E84" s="49"/>
      <c r="F84" s="85"/>
      <c r="G84" s="50"/>
      <c r="H84" s="42"/>
      <c r="I84" s="49"/>
      <c r="J84" s="49"/>
    </row>
    <row r="85" spans="1:10" s="2" customFormat="1" ht="22.5" customHeight="1" x14ac:dyDescent="0.15">
      <c r="A85" s="23"/>
      <c r="B85" s="23"/>
      <c r="C85" s="23"/>
      <c r="D85" s="49"/>
      <c r="E85" s="49"/>
      <c r="F85" s="85"/>
      <c r="G85" s="50"/>
      <c r="H85" s="42"/>
      <c r="I85" s="49"/>
      <c r="J85" s="49"/>
    </row>
    <row r="86" spans="1:10" s="2" customFormat="1" ht="22.5" customHeight="1" x14ac:dyDescent="0.15">
      <c r="A86" s="23"/>
      <c r="B86" s="23"/>
      <c r="C86" s="23"/>
      <c r="D86" s="49"/>
      <c r="E86" s="49"/>
      <c r="F86" s="85"/>
      <c r="G86" s="50"/>
      <c r="H86" s="42"/>
      <c r="I86" s="49"/>
      <c r="J86" s="49"/>
    </row>
    <row r="87" spans="1:10" s="2" customFormat="1" ht="22.5" customHeight="1" x14ac:dyDescent="0.15">
      <c r="A87" s="23"/>
      <c r="B87" s="23"/>
      <c r="C87" s="23"/>
      <c r="D87" s="49"/>
      <c r="E87" s="49"/>
      <c r="F87" s="85"/>
      <c r="G87" s="50"/>
      <c r="H87" s="42"/>
      <c r="I87" s="49"/>
      <c r="J87" s="49"/>
    </row>
    <row r="88" spans="1:10" s="2" customFormat="1" ht="22.5" customHeight="1" x14ac:dyDescent="0.15">
      <c r="A88" s="23"/>
      <c r="B88" s="23"/>
      <c r="C88" s="23"/>
      <c r="D88" s="49"/>
      <c r="E88" s="49"/>
      <c r="F88" s="85"/>
      <c r="G88" s="50"/>
      <c r="H88" s="42"/>
      <c r="I88" s="49"/>
      <c r="J88" s="49"/>
    </row>
    <row r="89" spans="1:10" s="2" customFormat="1" ht="22.5" customHeight="1" x14ac:dyDescent="0.15">
      <c r="A89" s="23"/>
      <c r="B89" s="23"/>
      <c r="C89" s="23"/>
      <c r="D89" s="49"/>
      <c r="E89" s="49"/>
      <c r="F89" s="85"/>
      <c r="G89" s="50"/>
      <c r="H89" s="42"/>
      <c r="I89" s="49"/>
      <c r="J89" s="49"/>
    </row>
    <row r="90" spans="1:10" s="2" customFormat="1" ht="22.5" customHeight="1" x14ac:dyDescent="0.15">
      <c r="A90" s="23"/>
      <c r="B90" s="23"/>
      <c r="C90" s="23"/>
      <c r="D90" s="49"/>
      <c r="E90" s="49"/>
      <c r="F90" s="85"/>
      <c r="G90" s="50"/>
      <c r="H90" s="42"/>
      <c r="I90" s="49"/>
      <c r="J90" s="49"/>
    </row>
    <row r="91" spans="1:10" s="2" customFormat="1" ht="22.5" customHeight="1" x14ac:dyDescent="0.15">
      <c r="A91" s="23"/>
      <c r="B91" s="23"/>
      <c r="C91" s="23"/>
      <c r="D91" s="49"/>
      <c r="E91" s="49"/>
      <c r="F91" s="85"/>
      <c r="G91" s="50"/>
      <c r="H91" s="42"/>
      <c r="I91" s="49"/>
      <c r="J91" s="49"/>
    </row>
    <row r="92" spans="1:10" s="2" customFormat="1" ht="22.5" customHeight="1" x14ac:dyDescent="0.15">
      <c r="A92" s="23"/>
      <c r="B92" s="23"/>
      <c r="C92" s="23"/>
      <c r="D92" s="49"/>
      <c r="E92" s="49"/>
      <c r="F92" s="85"/>
      <c r="G92" s="50"/>
      <c r="H92" s="42"/>
      <c r="I92" s="49"/>
      <c r="J92" s="49"/>
    </row>
    <row r="93" spans="1:10" s="2" customFormat="1" ht="22.5" customHeight="1" x14ac:dyDescent="0.15">
      <c r="A93" s="23"/>
      <c r="B93" s="23"/>
      <c r="C93" s="23"/>
      <c r="D93" s="49"/>
      <c r="E93" s="49"/>
      <c r="F93" s="85"/>
      <c r="G93" s="50"/>
      <c r="H93" s="42"/>
      <c r="I93" s="49"/>
      <c r="J93" s="49"/>
    </row>
    <row r="94" spans="1:10" s="2" customFormat="1" ht="22.5" customHeight="1" x14ac:dyDescent="0.15">
      <c r="A94" s="23"/>
      <c r="B94" s="23"/>
      <c r="C94" s="23"/>
      <c r="D94" s="49"/>
      <c r="E94" s="49"/>
      <c r="F94" s="85"/>
      <c r="G94" s="50"/>
      <c r="H94" s="42"/>
      <c r="I94" s="49"/>
      <c r="J94" s="49"/>
    </row>
    <row r="95" spans="1:10" s="2" customFormat="1" ht="22.5" customHeight="1" x14ac:dyDescent="0.15">
      <c r="A95" s="23"/>
      <c r="B95" s="23"/>
      <c r="C95" s="23"/>
      <c r="D95" s="49"/>
      <c r="E95" s="49"/>
      <c r="F95" s="85"/>
      <c r="G95" s="50"/>
      <c r="H95" s="42"/>
      <c r="I95" s="49"/>
      <c r="J95" s="49"/>
    </row>
    <row r="96" spans="1:10" s="2" customFormat="1" ht="22.5" customHeight="1" x14ac:dyDescent="0.15">
      <c r="A96" s="23"/>
      <c r="B96" s="23"/>
      <c r="C96" s="23"/>
      <c r="D96" s="49"/>
      <c r="E96" s="49"/>
      <c r="F96" s="85"/>
      <c r="G96" s="50"/>
      <c r="H96" s="42"/>
      <c r="I96" s="49"/>
      <c r="J96" s="49"/>
    </row>
    <row r="97" spans="1:10" s="2" customFormat="1" ht="22.5" customHeight="1" x14ac:dyDescent="0.15">
      <c r="A97" s="23"/>
      <c r="B97" s="23"/>
      <c r="C97" s="23"/>
      <c r="D97" s="49"/>
      <c r="E97" s="49"/>
      <c r="F97" s="85"/>
      <c r="G97" s="50"/>
      <c r="H97" s="42"/>
      <c r="I97" s="49"/>
      <c r="J97" s="49"/>
    </row>
    <row r="98" spans="1:10" s="2" customFormat="1" ht="22.5" customHeight="1" x14ac:dyDescent="0.15">
      <c r="A98" s="23"/>
      <c r="B98" s="23"/>
      <c r="C98" s="23"/>
      <c r="D98" s="49"/>
      <c r="E98" s="49"/>
      <c r="F98" s="85"/>
      <c r="G98" s="50"/>
      <c r="H98" s="42"/>
      <c r="I98" s="49"/>
      <c r="J98" s="49"/>
    </row>
    <row r="99" spans="1:10" s="2" customFormat="1" ht="22.5" customHeight="1" x14ac:dyDescent="0.15">
      <c r="A99" s="23"/>
      <c r="B99" s="23"/>
      <c r="C99" s="23"/>
      <c r="D99" s="49"/>
      <c r="E99" s="49"/>
      <c r="F99" s="85"/>
      <c r="G99" s="50"/>
      <c r="H99" s="42"/>
      <c r="I99" s="49"/>
      <c r="J99" s="49"/>
    </row>
    <row r="100" spans="1:10" s="2" customFormat="1" ht="22.5" customHeight="1" x14ac:dyDescent="0.15">
      <c r="A100" s="23"/>
      <c r="B100" s="23"/>
      <c r="C100" s="23"/>
      <c r="D100" s="49"/>
      <c r="E100" s="49"/>
      <c r="F100" s="85"/>
      <c r="G100" s="50"/>
      <c r="H100" s="42"/>
      <c r="I100" s="49"/>
      <c r="J100" s="49"/>
    </row>
    <row r="101" spans="1:10" s="2" customFormat="1" ht="22.5" customHeight="1" x14ac:dyDescent="0.15">
      <c r="A101" s="23"/>
      <c r="B101" s="23"/>
      <c r="C101" s="23"/>
      <c r="D101" s="49"/>
      <c r="E101" s="49"/>
      <c r="F101" s="85"/>
      <c r="G101" s="50"/>
      <c r="H101" s="42"/>
      <c r="I101" s="49"/>
      <c r="J101" s="49"/>
    </row>
    <row r="102" spans="1:10" s="2" customFormat="1" ht="22.5" customHeight="1" x14ac:dyDescent="0.15">
      <c r="A102" s="23"/>
      <c r="B102" s="23"/>
      <c r="C102" s="23"/>
      <c r="D102" s="49"/>
      <c r="E102" s="49"/>
      <c r="F102" s="85"/>
      <c r="G102" s="50"/>
      <c r="H102" s="42"/>
      <c r="I102" s="49"/>
      <c r="J102" s="49"/>
    </row>
    <row r="103" spans="1:10" s="2" customFormat="1" ht="22.5" customHeight="1" x14ac:dyDescent="0.15">
      <c r="A103" s="23"/>
      <c r="B103" s="23"/>
      <c r="C103" s="23"/>
      <c r="D103" s="49"/>
      <c r="E103" s="49"/>
      <c r="F103" s="85"/>
      <c r="G103" s="50"/>
      <c r="H103" s="42"/>
      <c r="I103" s="49"/>
      <c r="J103" s="49"/>
    </row>
    <row r="104" spans="1:10" s="2" customFormat="1" ht="22.5" customHeight="1" x14ac:dyDescent="0.15">
      <c r="A104" s="23"/>
      <c r="B104" s="23"/>
      <c r="C104" s="23"/>
      <c r="D104" s="49"/>
      <c r="E104" s="49"/>
      <c r="F104" s="85"/>
      <c r="G104" s="50"/>
      <c r="H104" s="42"/>
      <c r="I104" s="49"/>
      <c r="J104" s="49"/>
    </row>
    <row r="105" spans="1:10" s="2" customFormat="1" ht="22.5" customHeight="1" x14ac:dyDescent="0.15">
      <c r="A105" s="23"/>
      <c r="B105" s="23"/>
      <c r="C105" s="23"/>
      <c r="D105" s="49"/>
      <c r="E105" s="49"/>
      <c r="F105" s="85"/>
      <c r="G105" s="50"/>
      <c r="H105" s="42"/>
      <c r="I105" s="49"/>
      <c r="J105" s="49"/>
    </row>
    <row r="106" spans="1:10" s="2" customFormat="1" ht="22.5" customHeight="1" x14ac:dyDescent="0.15">
      <c r="A106" s="23"/>
      <c r="B106" s="23"/>
      <c r="C106" s="23"/>
      <c r="D106" s="49"/>
      <c r="E106" s="49"/>
      <c r="F106" s="85"/>
      <c r="G106" s="50"/>
      <c r="H106" s="42"/>
      <c r="I106" s="49"/>
      <c r="J106" s="49"/>
    </row>
    <row r="107" spans="1:10" s="2" customFormat="1" ht="22.5" customHeight="1" x14ac:dyDescent="0.15">
      <c r="A107" s="23"/>
      <c r="B107" s="23"/>
      <c r="C107" s="23"/>
      <c r="D107" s="49"/>
      <c r="E107" s="49"/>
      <c r="F107" s="85"/>
      <c r="G107" s="50"/>
      <c r="H107" s="42"/>
      <c r="I107" s="49"/>
      <c r="J107" s="49"/>
    </row>
    <row r="108" spans="1:10" s="2" customFormat="1" ht="22.5" customHeight="1" x14ac:dyDescent="0.15">
      <c r="A108" s="23"/>
      <c r="B108" s="23"/>
      <c r="C108" s="23"/>
      <c r="D108" s="49"/>
      <c r="E108" s="49"/>
      <c r="F108" s="85"/>
      <c r="G108" s="50"/>
      <c r="H108" s="42"/>
      <c r="I108" s="49"/>
      <c r="J108" s="49"/>
    </row>
    <row r="109" spans="1:10" s="2" customFormat="1" ht="22.5" customHeight="1" x14ac:dyDescent="0.15">
      <c r="A109" s="23"/>
      <c r="B109" s="23"/>
      <c r="C109" s="23"/>
      <c r="D109" s="49"/>
      <c r="E109" s="49"/>
      <c r="F109" s="85"/>
      <c r="G109" s="50"/>
      <c r="H109" s="42"/>
      <c r="I109" s="49"/>
      <c r="J109" s="49"/>
    </row>
    <row r="110" spans="1:10" s="2" customFormat="1" ht="22.5" customHeight="1" x14ac:dyDescent="0.15">
      <c r="A110" s="23"/>
      <c r="B110" s="23"/>
      <c r="C110" s="23"/>
      <c r="D110" s="49"/>
      <c r="E110" s="49"/>
      <c r="F110" s="85"/>
      <c r="G110" s="50"/>
      <c r="H110" s="42"/>
      <c r="I110" s="49"/>
      <c r="J110" s="49"/>
    </row>
    <row r="111" spans="1:10" s="2" customFormat="1" ht="22.5" customHeight="1" x14ac:dyDescent="0.15">
      <c r="A111" s="23"/>
      <c r="B111" s="23"/>
      <c r="C111" s="23"/>
      <c r="D111" s="49"/>
      <c r="E111" s="49"/>
      <c r="F111" s="85"/>
      <c r="G111" s="50"/>
      <c r="H111" s="42"/>
      <c r="I111" s="49"/>
      <c r="J111" s="49"/>
    </row>
    <row r="112" spans="1:10" s="2" customFormat="1" ht="22.5" customHeight="1" x14ac:dyDescent="0.15">
      <c r="A112" s="23"/>
      <c r="B112" s="23"/>
      <c r="C112" s="23"/>
      <c r="D112" s="49"/>
      <c r="E112" s="49"/>
      <c r="F112" s="85"/>
      <c r="G112" s="50"/>
      <c r="H112" s="42"/>
      <c r="I112" s="49"/>
      <c r="J112" s="49"/>
    </row>
    <row r="113" spans="1:10" s="2" customFormat="1" ht="22.5" customHeight="1" x14ac:dyDescent="0.15">
      <c r="A113" s="23"/>
      <c r="B113" s="23"/>
      <c r="C113" s="23"/>
      <c r="D113" s="49"/>
      <c r="E113" s="49"/>
      <c r="F113" s="85"/>
      <c r="G113" s="50"/>
      <c r="H113" s="42"/>
      <c r="I113" s="49"/>
      <c r="J113" s="49"/>
    </row>
    <row r="114" spans="1:10" s="2" customFormat="1" ht="22.5" customHeight="1" x14ac:dyDescent="0.15">
      <c r="A114" s="23"/>
      <c r="B114" s="23"/>
      <c r="C114" s="23"/>
      <c r="D114" s="49"/>
      <c r="E114" s="49"/>
      <c r="F114" s="85"/>
      <c r="G114" s="50"/>
      <c r="H114" s="42"/>
      <c r="I114" s="49"/>
      <c r="J114" s="49"/>
    </row>
    <row r="115" spans="1:10" s="2" customFormat="1" ht="22.5" customHeight="1" x14ac:dyDescent="0.15">
      <c r="A115" s="23"/>
      <c r="B115" s="23"/>
      <c r="C115" s="23"/>
      <c r="D115" s="49"/>
      <c r="E115" s="49"/>
      <c r="F115" s="85"/>
      <c r="G115" s="50"/>
      <c r="H115" s="42"/>
      <c r="I115" s="49"/>
      <c r="J115" s="49"/>
    </row>
    <row r="116" spans="1:10" s="2" customFormat="1" ht="22.5" customHeight="1" x14ac:dyDescent="0.15">
      <c r="A116" s="23"/>
      <c r="B116" s="23"/>
      <c r="C116" s="23"/>
      <c r="D116" s="49"/>
      <c r="E116" s="49"/>
      <c r="F116" s="85"/>
      <c r="G116" s="50"/>
      <c r="H116" s="42"/>
      <c r="I116" s="49"/>
      <c r="J116" s="49"/>
    </row>
    <row r="117" spans="1:10" s="2" customFormat="1" ht="22.5" customHeight="1" x14ac:dyDescent="0.15">
      <c r="A117" s="23"/>
      <c r="B117" s="23"/>
      <c r="C117" s="23"/>
      <c r="D117" s="49"/>
      <c r="E117" s="49"/>
      <c r="F117" s="85"/>
      <c r="G117" s="50"/>
      <c r="H117" s="42"/>
      <c r="I117" s="49"/>
      <c r="J117" s="49"/>
    </row>
    <row r="118" spans="1:10" s="2" customFormat="1" ht="22.5" customHeight="1" x14ac:dyDescent="0.15">
      <c r="A118" s="23"/>
      <c r="B118" s="23"/>
      <c r="C118" s="23"/>
      <c r="D118" s="49"/>
      <c r="E118" s="49"/>
      <c r="F118" s="85"/>
      <c r="G118" s="50"/>
      <c r="H118" s="42"/>
      <c r="I118" s="49"/>
      <c r="J118" s="49"/>
    </row>
    <row r="119" spans="1:10" s="2" customFormat="1" ht="22.5" customHeight="1" x14ac:dyDescent="0.15">
      <c r="A119" s="23"/>
      <c r="B119" s="23"/>
      <c r="C119" s="23"/>
      <c r="D119" s="49"/>
      <c r="E119" s="49"/>
      <c r="F119" s="85"/>
      <c r="G119" s="50"/>
      <c r="H119" s="42"/>
      <c r="I119" s="49"/>
      <c r="J119" s="49"/>
    </row>
    <row r="120" spans="1:10" s="2" customFormat="1" ht="22.5" customHeight="1" x14ac:dyDescent="0.15">
      <c r="A120" s="23"/>
      <c r="B120" s="23"/>
      <c r="C120" s="23"/>
      <c r="D120" s="49"/>
      <c r="E120" s="49"/>
      <c r="F120" s="85"/>
      <c r="G120" s="50"/>
      <c r="H120" s="42"/>
      <c r="I120" s="49"/>
      <c r="J120" s="49"/>
    </row>
    <row r="121" spans="1:10" s="2" customFormat="1" ht="22.5" customHeight="1" x14ac:dyDescent="0.15">
      <c r="A121" s="23"/>
      <c r="B121" s="23"/>
      <c r="C121" s="23"/>
      <c r="D121" s="49"/>
      <c r="E121" s="49"/>
      <c r="F121" s="85"/>
      <c r="G121" s="50"/>
      <c r="H121" s="42"/>
      <c r="I121" s="49"/>
      <c r="J121" s="49"/>
    </row>
    <row r="122" spans="1:10" s="2" customFormat="1" ht="22.5" customHeight="1" x14ac:dyDescent="0.15">
      <c r="A122" s="23"/>
      <c r="B122" s="23"/>
      <c r="C122" s="23"/>
      <c r="D122" s="49"/>
      <c r="E122" s="49"/>
      <c r="F122" s="85"/>
      <c r="G122" s="50"/>
      <c r="H122" s="42"/>
      <c r="I122" s="49"/>
      <c r="J122" s="49"/>
    </row>
    <row r="123" spans="1:10" s="2" customFormat="1" ht="22.5" customHeight="1" x14ac:dyDescent="0.15">
      <c r="A123" s="23"/>
      <c r="B123" s="23"/>
      <c r="C123" s="23"/>
      <c r="D123" s="49"/>
      <c r="E123" s="49"/>
      <c r="F123" s="85"/>
      <c r="G123" s="50"/>
      <c r="H123" s="42"/>
      <c r="I123" s="49"/>
      <c r="J123" s="49"/>
    </row>
    <row r="124" spans="1:10" s="2" customFormat="1" ht="22.5" customHeight="1" x14ac:dyDescent="0.15">
      <c r="A124" s="23"/>
      <c r="B124" s="23"/>
      <c r="C124" s="23"/>
      <c r="D124" s="49"/>
      <c r="E124" s="49"/>
      <c r="F124" s="85"/>
      <c r="G124" s="50"/>
      <c r="H124" s="42"/>
      <c r="I124" s="49"/>
      <c r="J124" s="49"/>
    </row>
    <row r="125" spans="1:10" s="2" customFormat="1" ht="22.5" customHeight="1" x14ac:dyDescent="0.15">
      <c r="A125" s="23"/>
      <c r="B125" s="23"/>
      <c r="C125" s="23"/>
      <c r="D125" s="49"/>
      <c r="E125" s="49"/>
      <c r="F125" s="85"/>
      <c r="G125" s="50"/>
      <c r="H125" s="42"/>
      <c r="I125" s="49"/>
      <c r="J125" s="49"/>
    </row>
    <row r="126" spans="1:10" s="2" customFormat="1" ht="22.5" customHeight="1" x14ac:dyDescent="0.15">
      <c r="A126" s="23"/>
      <c r="B126" s="23"/>
      <c r="C126" s="23"/>
      <c r="D126" s="49"/>
      <c r="E126" s="49"/>
      <c r="F126" s="85"/>
      <c r="G126" s="50"/>
      <c r="H126" s="42"/>
      <c r="I126" s="49"/>
      <c r="J126" s="49"/>
    </row>
    <row r="127" spans="1:10" s="2" customFormat="1" ht="22.5" customHeight="1" x14ac:dyDescent="0.15">
      <c r="A127" s="23"/>
      <c r="B127" s="23"/>
      <c r="C127" s="23"/>
      <c r="D127" s="49"/>
      <c r="E127" s="49"/>
      <c r="F127" s="85"/>
      <c r="G127" s="50"/>
      <c r="H127" s="42"/>
      <c r="I127" s="49"/>
      <c r="J127" s="49"/>
    </row>
    <row r="128" spans="1:10" s="2" customFormat="1" ht="22.5" customHeight="1" x14ac:dyDescent="0.15">
      <c r="A128" s="23"/>
      <c r="B128" s="23"/>
      <c r="C128" s="23"/>
      <c r="D128" s="49"/>
      <c r="E128" s="49"/>
      <c r="F128" s="85"/>
      <c r="G128" s="50"/>
      <c r="H128" s="42"/>
      <c r="I128" s="49"/>
      <c r="J128" s="49"/>
    </row>
    <row r="129" spans="1:10" s="2" customFormat="1" ht="22.5" customHeight="1" x14ac:dyDescent="0.15">
      <c r="A129" s="23"/>
      <c r="B129" s="23"/>
      <c r="C129" s="23"/>
      <c r="D129" s="49"/>
      <c r="E129" s="49"/>
      <c r="F129" s="85"/>
      <c r="G129" s="50"/>
      <c r="H129" s="42"/>
      <c r="I129" s="49"/>
      <c r="J129" s="49"/>
    </row>
    <row r="130" spans="1:10" s="2" customFormat="1" ht="22.5" customHeight="1" x14ac:dyDescent="0.15">
      <c r="A130" s="23"/>
      <c r="B130" s="23"/>
      <c r="C130" s="23"/>
      <c r="D130" s="49"/>
      <c r="E130" s="49"/>
      <c r="F130" s="85"/>
      <c r="G130" s="50"/>
      <c r="H130" s="42"/>
      <c r="I130" s="49"/>
      <c r="J130" s="49"/>
    </row>
    <row r="131" spans="1:10" s="2" customFormat="1" ht="22.5" customHeight="1" x14ac:dyDescent="0.15">
      <c r="A131" s="23"/>
      <c r="B131" s="23"/>
      <c r="C131" s="23"/>
      <c r="D131" s="49"/>
      <c r="E131" s="49"/>
      <c r="F131" s="85"/>
      <c r="G131" s="50"/>
      <c r="H131" s="42"/>
      <c r="I131" s="49"/>
      <c r="J131" s="49"/>
    </row>
    <row r="132" spans="1:10" s="2" customFormat="1" ht="22.5" customHeight="1" x14ac:dyDescent="0.15">
      <c r="A132" s="23"/>
      <c r="B132" s="23"/>
      <c r="C132" s="23"/>
      <c r="D132" s="49"/>
      <c r="E132" s="49"/>
      <c r="F132" s="85"/>
      <c r="G132" s="50"/>
      <c r="H132" s="42"/>
      <c r="I132" s="49"/>
      <c r="J132" s="49"/>
    </row>
    <row r="133" spans="1:10" s="2" customFormat="1" ht="22.5" customHeight="1" x14ac:dyDescent="0.15">
      <c r="A133" s="23"/>
      <c r="B133" s="23"/>
      <c r="C133" s="23"/>
      <c r="D133" s="49"/>
      <c r="E133" s="49"/>
      <c r="F133" s="85"/>
      <c r="G133" s="50"/>
      <c r="H133" s="42"/>
      <c r="I133" s="49"/>
      <c r="J133" s="49"/>
    </row>
    <row r="134" spans="1:10" s="2" customFormat="1" ht="22.5" customHeight="1" x14ac:dyDescent="0.15">
      <c r="A134" s="23"/>
      <c r="B134" s="23"/>
      <c r="C134" s="23"/>
      <c r="D134" s="49"/>
      <c r="E134" s="49"/>
      <c r="F134" s="85"/>
      <c r="G134" s="50"/>
      <c r="H134" s="42"/>
      <c r="I134" s="49"/>
      <c r="J134" s="49"/>
    </row>
    <row r="135" spans="1:10" s="2" customFormat="1" ht="22.5" customHeight="1" x14ac:dyDescent="0.15">
      <c r="A135" s="23"/>
      <c r="B135" s="23"/>
      <c r="C135" s="23"/>
      <c r="D135" s="49"/>
      <c r="E135" s="49"/>
      <c r="F135" s="85"/>
      <c r="G135" s="50"/>
      <c r="H135" s="42"/>
      <c r="I135" s="49"/>
      <c r="J135" s="49"/>
    </row>
    <row r="136" spans="1:10" s="2" customFormat="1" ht="22.5" customHeight="1" x14ac:dyDescent="0.15">
      <c r="A136" s="23"/>
      <c r="B136" s="23"/>
      <c r="C136" s="23"/>
      <c r="D136" s="49"/>
      <c r="E136" s="49"/>
      <c r="F136" s="85"/>
      <c r="G136" s="50"/>
      <c r="H136" s="42"/>
      <c r="I136" s="49"/>
      <c r="J136" s="49"/>
    </row>
    <row r="137" spans="1:10" s="2" customFormat="1" ht="22.5" customHeight="1" x14ac:dyDescent="0.15">
      <c r="A137" s="23"/>
      <c r="B137" s="23"/>
      <c r="C137" s="23"/>
      <c r="D137" s="49"/>
      <c r="E137" s="49"/>
      <c r="F137" s="85"/>
      <c r="G137" s="50"/>
      <c r="H137" s="42"/>
      <c r="I137" s="49"/>
      <c r="J137" s="49"/>
    </row>
    <row r="138" spans="1:10" s="2" customFormat="1" ht="22.5" customHeight="1" x14ac:dyDescent="0.15">
      <c r="A138" s="23"/>
      <c r="B138" s="23"/>
      <c r="C138" s="23"/>
      <c r="D138" s="49"/>
      <c r="E138" s="49"/>
      <c r="F138" s="85"/>
      <c r="G138" s="50"/>
      <c r="H138" s="42"/>
      <c r="I138" s="49"/>
      <c r="J138" s="49"/>
    </row>
    <row r="139" spans="1:10" s="2" customFormat="1" ht="22.5" customHeight="1" x14ac:dyDescent="0.15">
      <c r="A139" s="23"/>
      <c r="B139" s="23"/>
      <c r="C139" s="23"/>
      <c r="D139" s="49"/>
      <c r="E139" s="49"/>
      <c r="F139" s="85"/>
      <c r="G139" s="50"/>
      <c r="H139" s="42"/>
      <c r="I139" s="49"/>
      <c r="J139" s="49"/>
    </row>
    <row r="140" spans="1:10" s="2" customFormat="1" ht="22.5" customHeight="1" x14ac:dyDescent="0.15">
      <c r="A140" s="23"/>
      <c r="B140" s="23"/>
      <c r="C140" s="23"/>
      <c r="D140" s="49"/>
      <c r="E140" s="49"/>
      <c r="F140" s="85"/>
      <c r="G140" s="50"/>
      <c r="H140" s="42"/>
      <c r="I140" s="49"/>
      <c r="J140" s="49"/>
    </row>
    <row r="141" spans="1:10" s="2" customFormat="1" ht="22.5" customHeight="1" x14ac:dyDescent="0.15">
      <c r="A141" s="23"/>
      <c r="B141" s="23"/>
      <c r="C141" s="23"/>
      <c r="D141" s="49"/>
      <c r="E141" s="49"/>
      <c r="F141" s="85"/>
      <c r="G141" s="50"/>
      <c r="H141" s="42"/>
      <c r="I141" s="49"/>
      <c r="J141" s="49"/>
    </row>
    <row r="142" spans="1:10" s="2" customFormat="1" ht="22.5" customHeight="1" x14ac:dyDescent="0.15">
      <c r="A142" s="23"/>
      <c r="B142" s="23"/>
      <c r="C142" s="23"/>
      <c r="D142" s="49"/>
      <c r="E142" s="49"/>
      <c r="F142" s="85"/>
      <c r="G142" s="50"/>
      <c r="H142" s="42"/>
      <c r="I142" s="49"/>
      <c r="J142" s="49"/>
    </row>
    <row r="143" spans="1:10" s="2" customFormat="1" ht="22.5" customHeight="1" x14ac:dyDescent="0.15">
      <c r="A143" s="23"/>
      <c r="B143" s="23"/>
      <c r="C143" s="23"/>
      <c r="D143" s="49"/>
      <c r="E143" s="49"/>
      <c r="F143" s="85"/>
      <c r="G143" s="50"/>
      <c r="H143" s="42"/>
      <c r="I143" s="49"/>
      <c r="J143" s="49"/>
    </row>
    <row r="144" spans="1:10" s="2" customFormat="1" ht="22.5" customHeight="1" x14ac:dyDescent="0.15">
      <c r="A144" s="23"/>
      <c r="B144" s="23"/>
      <c r="C144" s="23"/>
      <c r="D144" s="49"/>
      <c r="E144" s="49"/>
      <c r="F144" s="85"/>
      <c r="G144" s="50"/>
      <c r="H144" s="42"/>
      <c r="I144" s="49"/>
      <c r="J144" s="49"/>
    </row>
    <row r="145" spans="1:10" s="2" customFormat="1" ht="22.5" customHeight="1" x14ac:dyDescent="0.15">
      <c r="A145" s="23"/>
      <c r="B145" s="23"/>
      <c r="C145" s="23"/>
      <c r="D145" s="49"/>
      <c r="E145" s="49"/>
      <c r="F145" s="85"/>
      <c r="G145" s="50"/>
      <c r="H145" s="42"/>
      <c r="I145" s="49"/>
      <c r="J145" s="49"/>
    </row>
    <row r="146" spans="1:10" s="2" customFormat="1" ht="22.5" customHeight="1" x14ac:dyDescent="0.15">
      <c r="A146" s="23"/>
      <c r="B146" s="23"/>
      <c r="C146" s="23"/>
      <c r="D146" s="49"/>
      <c r="E146" s="49"/>
      <c r="F146" s="85"/>
      <c r="G146" s="50"/>
      <c r="H146" s="42"/>
      <c r="I146" s="49"/>
      <c r="J146" s="49"/>
    </row>
    <row r="147" spans="1:10" s="2" customFormat="1" ht="22.5" customHeight="1" x14ac:dyDescent="0.15">
      <c r="A147" s="23"/>
      <c r="B147" s="23"/>
      <c r="C147" s="23"/>
      <c r="D147" s="49"/>
      <c r="E147" s="49"/>
      <c r="F147" s="85"/>
      <c r="G147" s="50"/>
      <c r="H147" s="42"/>
      <c r="I147" s="49"/>
      <c r="J147" s="49"/>
    </row>
    <row r="148" spans="1:10" s="2" customFormat="1" ht="22.5" customHeight="1" x14ac:dyDescent="0.15">
      <c r="A148" s="23"/>
      <c r="B148" s="23"/>
      <c r="C148" s="23"/>
      <c r="D148" s="49"/>
      <c r="E148" s="49"/>
      <c r="F148" s="85"/>
      <c r="G148" s="50"/>
      <c r="H148" s="42"/>
      <c r="I148" s="49"/>
      <c r="J148" s="49"/>
    </row>
    <row r="149" spans="1:10" s="2" customFormat="1" ht="22.5" customHeight="1" x14ac:dyDescent="0.15">
      <c r="A149" s="23"/>
      <c r="B149" s="23"/>
      <c r="C149" s="23"/>
      <c r="D149" s="49"/>
      <c r="E149" s="49"/>
      <c r="F149" s="85"/>
      <c r="G149" s="50"/>
      <c r="H149" s="42"/>
      <c r="I149" s="49"/>
      <c r="J149" s="49"/>
    </row>
    <row r="150" spans="1:10" s="2" customFormat="1" ht="22.5" customHeight="1" x14ac:dyDescent="0.15">
      <c r="A150" s="23"/>
      <c r="B150" s="23"/>
      <c r="C150" s="23"/>
      <c r="D150" s="49"/>
      <c r="E150" s="49"/>
      <c r="F150" s="85"/>
      <c r="G150" s="50"/>
      <c r="H150" s="42"/>
      <c r="I150" s="49"/>
      <c r="J150" s="49"/>
    </row>
    <row r="151" spans="1:10" s="2" customFormat="1" ht="22.5" customHeight="1" x14ac:dyDescent="0.15">
      <c r="A151" s="23"/>
      <c r="B151" s="23"/>
      <c r="C151" s="23"/>
      <c r="D151" s="49"/>
      <c r="E151" s="49"/>
      <c r="F151" s="85"/>
      <c r="G151" s="50"/>
      <c r="H151" s="42"/>
      <c r="I151" s="49"/>
      <c r="J151" s="49"/>
    </row>
    <row r="152" spans="1:10" s="2" customFormat="1" ht="22.5" customHeight="1" x14ac:dyDescent="0.15">
      <c r="A152" s="23"/>
      <c r="B152" s="23"/>
      <c r="C152" s="23"/>
      <c r="D152" s="49"/>
      <c r="E152" s="49"/>
      <c r="F152" s="85"/>
      <c r="G152" s="50"/>
      <c r="H152" s="42"/>
      <c r="I152" s="49"/>
      <c r="J152" s="49"/>
    </row>
    <row r="153" spans="1:10" s="2" customFormat="1" ht="22.5" customHeight="1" x14ac:dyDescent="0.15">
      <c r="A153" s="23"/>
      <c r="B153" s="23"/>
      <c r="C153" s="23"/>
      <c r="D153" s="49"/>
      <c r="E153" s="49"/>
      <c r="F153" s="85"/>
      <c r="G153" s="50"/>
      <c r="H153" s="42"/>
      <c r="I153" s="49"/>
      <c r="J153" s="49"/>
    </row>
    <row r="154" spans="1:10" s="2" customFormat="1" ht="22.5" customHeight="1" x14ac:dyDescent="0.15">
      <c r="A154" s="23"/>
      <c r="B154" s="23"/>
      <c r="C154" s="23"/>
      <c r="D154" s="49"/>
      <c r="E154" s="49"/>
      <c r="F154" s="85"/>
      <c r="G154" s="50"/>
      <c r="H154" s="42"/>
      <c r="I154" s="49"/>
      <c r="J154" s="49"/>
    </row>
    <row r="155" spans="1:10" s="2" customFormat="1" ht="22.5" customHeight="1" x14ac:dyDescent="0.15">
      <c r="A155" s="23"/>
      <c r="B155" s="23"/>
      <c r="C155" s="23"/>
      <c r="D155" s="49"/>
      <c r="E155" s="49"/>
      <c r="F155" s="85"/>
      <c r="G155" s="50"/>
      <c r="H155" s="42"/>
      <c r="I155" s="49"/>
      <c r="J155" s="49"/>
    </row>
    <row r="156" spans="1:10" s="2" customFormat="1" ht="22.5" customHeight="1" x14ac:dyDescent="0.15">
      <c r="A156" s="23"/>
      <c r="B156" s="23"/>
      <c r="C156" s="23"/>
      <c r="D156" s="49"/>
      <c r="E156" s="49"/>
      <c r="F156" s="85"/>
      <c r="G156" s="50"/>
      <c r="H156" s="42"/>
      <c r="I156" s="49"/>
      <c r="J156" s="49"/>
    </row>
    <row r="157" spans="1:10" s="2" customFormat="1" ht="22.5" customHeight="1" x14ac:dyDescent="0.15">
      <c r="A157" s="23"/>
      <c r="B157" s="23"/>
      <c r="C157" s="23"/>
      <c r="D157" s="49"/>
      <c r="E157" s="49"/>
      <c r="F157" s="85"/>
      <c r="G157" s="50"/>
      <c r="H157" s="42"/>
      <c r="I157" s="49"/>
      <c r="J157" s="49"/>
    </row>
    <row r="158" spans="1:10" s="2" customFormat="1" ht="22.5" customHeight="1" x14ac:dyDescent="0.15">
      <c r="A158" s="23"/>
      <c r="B158" s="23"/>
      <c r="C158" s="23"/>
      <c r="D158" s="49"/>
      <c r="E158" s="49"/>
      <c r="F158" s="85"/>
      <c r="G158" s="50"/>
      <c r="H158" s="42"/>
      <c r="I158" s="49"/>
      <c r="J158" s="49"/>
    </row>
    <row r="159" spans="1:10" s="2" customFormat="1" ht="22.5" customHeight="1" x14ac:dyDescent="0.15">
      <c r="A159" s="23"/>
      <c r="B159" s="23"/>
      <c r="C159" s="23"/>
      <c r="D159" s="49"/>
      <c r="E159" s="49"/>
      <c r="F159" s="85"/>
      <c r="G159" s="50"/>
      <c r="H159" s="42"/>
      <c r="I159" s="49"/>
      <c r="J159" s="49"/>
    </row>
    <row r="160" spans="1:10" s="2" customFormat="1" ht="22.5" customHeight="1" x14ac:dyDescent="0.15">
      <c r="A160" s="23"/>
      <c r="B160" s="23"/>
      <c r="C160" s="23"/>
      <c r="D160" s="49"/>
      <c r="E160" s="49"/>
      <c r="F160" s="85"/>
      <c r="G160" s="50"/>
      <c r="H160" s="42"/>
      <c r="I160" s="49"/>
      <c r="J160" s="49"/>
    </row>
    <row r="161" spans="1:10" s="2" customFormat="1" ht="22.5" customHeight="1" x14ac:dyDescent="0.15">
      <c r="A161" s="23"/>
      <c r="B161" s="23"/>
      <c r="C161" s="23"/>
      <c r="D161" s="49"/>
      <c r="E161" s="49"/>
      <c r="F161" s="85"/>
      <c r="G161" s="50"/>
      <c r="H161" s="42"/>
      <c r="I161" s="49"/>
      <c r="J161" s="49"/>
    </row>
    <row r="162" spans="1:10" s="2" customFormat="1" ht="22.5" customHeight="1" x14ac:dyDescent="0.15">
      <c r="A162" s="23"/>
      <c r="B162" s="23"/>
      <c r="C162" s="23"/>
      <c r="D162" s="49"/>
      <c r="E162" s="49"/>
      <c r="F162" s="85"/>
      <c r="G162" s="50"/>
      <c r="H162" s="42"/>
      <c r="I162" s="49"/>
      <c r="J162" s="49"/>
    </row>
    <row r="163" spans="1:10" s="2" customFormat="1" ht="22.5" customHeight="1" x14ac:dyDescent="0.15">
      <c r="A163" s="23"/>
      <c r="B163" s="23"/>
      <c r="C163" s="23"/>
      <c r="D163" s="49"/>
      <c r="E163" s="49"/>
      <c r="F163" s="85"/>
      <c r="G163" s="50"/>
      <c r="H163" s="42"/>
      <c r="I163" s="49"/>
      <c r="J163" s="49"/>
    </row>
    <row r="164" spans="1:10" s="2" customFormat="1" ht="22.5" customHeight="1" x14ac:dyDescent="0.15">
      <c r="A164" s="23"/>
      <c r="B164" s="23"/>
      <c r="C164" s="23"/>
      <c r="D164" s="49"/>
      <c r="E164" s="49"/>
      <c r="F164" s="85"/>
      <c r="G164" s="50"/>
      <c r="H164" s="42"/>
      <c r="I164" s="49"/>
      <c r="J164" s="49"/>
    </row>
    <row r="165" spans="1:10" s="2" customFormat="1" ht="22.5" customHeight="1" x14ac:dyDescent="0.15">
      <c r="A165" s="23"/>
      <c r="B165" s="23"/>
      <c r="C165" s="23"/>
      <c r="D165" s="49"/>
      <c r="E165" s="49"/>
      <c r="F165" s="85"/>
      <c r="G165" s="50"/>
      <c r="H165" s="42"/>
      <c r="I165" s="49"/>
      <c r="J165" s="49"/>
    </row>
    <row r="166" spans="1:10" s="2" customFormat="1" ht="22.5" customHeight="1" x14ac:dyDescent="0.15">
      <c r="A166" s="23"/>
      <c r="B166" s="23"/>
      <c r="C166" s="23"/>
      <c r="D166" s="49"/>
      <c r="E166" s="49"/>
      <c r="F166" s="85"/>
      <c r="G166" s="50"/>
      <c r="H166" s="42"/>
      <c r="I166" s="49"/>
      <c r="J166" s="49"/>
    </row>
    <row r="167" spans="1:10" s="2" customFormat="1" ht="22.5" customHeight="1" x14ac:dyDescent="0.15">
      <c r="A167" s="23"/>
      <c r="B167" s="23"/>
      <c r="C167" s="23"/>
      <c r="D167" s="49"/>
      <c r="E167" s="49"/>
      <c r="F167" s="85"/>
      <c r="G167" s="50"/>
      <c r="H167" s="42"/>
      <c r="I167" s="49"/>
      <c r="J167" s="49"/>
    </row>
    <row r="168" spans="1:10" s="2" customFormat="1" ht="22.5" customHeight="1" x14ac:dyDescent="0.15">
      <c r="A168" s="23"/>
      <c r="B168" s="23"/>
      <c r="C168" s="23"/>
      <c r="D168" s="49"/>
      <c r="E168" s="49"/>
      <c r="F168" s="85"/>
      <c r="G168" s="50"/>
      <c r="H168" s="42"/>
      <c r="I168" s="49"/>
      <c r="J168" s="49"/>
    </row>
    <row r="169" spans="1:10" s="2" customFormat="1" ht="22.5" customHeight="1" x14ac:dyDescent="0.15">
      <c r="A169" s="23"/>
      <c r="B169" s="23"/>
      <c r="C169" s="23"/>
      <c r="D169" s="49"/>
      <c r="E169" s="49"/>
      <c r="F169" s="85"/>
      <c r="G169" s="50"/>
      <c r="H169" s="42"/>
      <c r="I169" s="49"/>
      <c r="J169" s="49"/>
    </row>
    <row r="170" spans="1:10" s="2" customFormat="1" ht="22.5" customHeight="1" x14ac:dyDescent="0.15">
      <c r="A170" s="23"/>
      <c r="B170" s="23"/>
      <c r="C170" s="23"/>
      <c r="D170" s="49"/>
      <c r="E170" s="49"/>
      <c r="F170" s="85"/>
      <c r="G170" s="50"/>
      <c r="H170" s="42"/>
      <c r="I170" s="49"/>
      <c r="J170" s="49"/>
    </row>
    <row r="171" spans="1:10" s="2" customFormat="1" ht="22.5" customHeight="1" x14ac:dyDescent="0.15">
      <c r="A171" s="23"/>
      <c r="B171" s="23"/>
      <c r="C171" s="23"/>
      <c r="D171" s="49"/>
      <c r="E171" s="49"/>
      <c r="F171" s="85"/>
      <c r="G171" s="50"/>
      <c r="H171" s="42"/>
      <c r="I171" s="49"/>
      <c r="J171" s="49"/>
    </row>
    <row r="172" spans="1:10" s="2" customFormat="1" ht="22.5" customHeight="1" x14ac:dyDescent="0.15">
      <c r="A172" s="23"/>
      <c r="B172" s="23"/>
      <c r="C172" s="23"/>
      <c r="D172" s="49"/>
      <c r="E172" s="49"/>
      <c r="F172" s="85"/>
      <c r="G172" s="50"/>
      <c r="H172" s="42"/>
      <c r="I172" s="49"/>
      <c r="J172" s="49"/>
    </row>
    <row r="173" spans="1:10" s="2" customFormat="1" ht="22.5" customHeight="1" x14ac:dyDescent="0.15">
      <c r="A173" s="23"/>
      <c r="B173" s="23"/>
      <c r="C173" s="23"/>
      <c r="D173" s="49"/>
      <c r="E173" s="49"/>
      <c r="F173" s="85"/>
      <c r="G173" s="50"/>
      <c r="H173" s="42"/>
      <c r="I173" s="49"/>
      <c r="J173" s="49"/>
    </row>
    <row r="174" spans="1:10" s="2" customFormat="1" ht="22.5" customHeight="1" x14ac:dyDescent="0.15">
      <c r="A174" s="23"/>
      <c r="B174" s="23"/>
      <c r="C174" s="23"/>
      <c r="D174" s="49"/>
      <c r="E174" s="49"/>
      <c r="F174" s="85"/>
      <c r="G174" s="50"/>
      <c r="H174" s="42"/>
      <c r="I174" s="49"/>
      <c r="J174" s="49"/>
    </row>
    <row r="175" spans="1:10" s="2" customFormat="1" ht="22.5" customHeight="1" x14ac:dyDescent="0.15">
      <c r="A175" s="23"/>
      <c r="B175" s="23"/>
      <c r="C175" s="23"/>
      <c r="D175" s="49"/>
      <c r="E175" s="49"/>
      <c r="F175" s="85"/>
      <c r="G175" s="50"/>
      <c r="H175" s="42"/>
      <c r="I175" s="49"/>
      <c r="J175" s="49"/>
    </row>
    <row r="176" spans="1:10" s="2" customFormat="1" ht="22.5" customHeight="1" x14ac:dyDescent="0.15">
      <c r="A176" s="23"/>
      <c r="B176" s="23"/>
      <c r="C176" s="23"/>
      <c r="D176" s="49"/>
      <c r="E176" s="49"/>
      <c r="F176" s="85"/>
      <c r="G176" s="50"/>
      <c r="H176" s="42"/>
      <c r="I176" s="49"/>
      <c r="J176" s="49"/>
    </row>
    <row r="177" spans="1:10" s="2" customFormat="1" ht="22.5" customHeight="1" x14ac:dyDescent="0.15">
      <c r="A177" s="23"/>
      <c r="B177" s="23"/>
      <c r="C177" s="23"/>
      <c r="D177" s="49"/>
      <c r="E177" s="49"/>
      <c r="F177" s="85"/>
      <c r="G177" s="50"/>
      <c r="H177" s="42"/>
      <c r="I177" s="49"/>
      <c r="J177" s="49"/>
    </row>
    <row r="178" spans="1:10" s="2" customFormat="1" ht="22.5" customHeight="1" x14ac:dyDescent="0.15">
      <c r="A178" s="23"/>
      <c r="B178" s="23"/>
      <c r="C178" s="23"/>
      <c r="D178" s="49"/>
      <c r="E178" s="49"/>
      <c r="F178" s="85"/>
      <c r="G178" s="50"/>
      <c r="H178" s="42"/>
      <c r="I178" s="49"/>
      <c r="J178" s="49"/>
    </row>
    <row r="179" spans="1:10" s="2" customFormat="1" ht="22.5" customHeight="1" x14ac:dyDescent="0.15">
      <c r="A179" s="23"/>
      <c r="B179" s="23"/>
      <c r="C179" s="23"/>
      <c r="D179" s="49"/>
      <c r="E179" s="49"/>
      <c r="F179" s="85"/>
      <c r="G179" s="50"/>
      <c r="H179" s="42"/>
      <c r="I179" s="49"/>
      <c r="J179" s="49"/>
    </row>
    <row r="180" spans="1:10" s="2" customFormat="1" ht="22.5" customHeight="1" x14ac:dyDescent="0.15">
      <c r="A180" s="23"/>
      <c r="B180" s="23"/>
      <c r="C180" s="23"/>
      <c r="D180" s="49"/>
      <c r="E180" s="49"/>
      <c r="F180" s="85"/>
      <c r="G180" s="50"/>
      <c r="H180" s="42"/>
      <c r="I180" s="49"/>
      <c r="J180" s="49"/>
    </row>
    <row r="181" spans="1:10" s="2" customFormat="1" ht="22.5" customHeight="1" x14ac:dyDescent="0.15">
      <c r="A181" s="23"/>
      <c r="B181" s="23"/>
      <c r="C181" s="23"/>
      <c r="D181" s="49"/>
      <c r="E181" s="49"/>
      <c r="F181" s="85"/>
      <c r="G181" s="50"/>
      <c r="H181" s="42"/>
      <c r="I181" s="49"/>
      <c r="J181" s="49"/>
    </row>
    <row r="182" spans="1:10" s="2" customFormat="1" ht="22.5" customHeight="1" x14ac:dyDescent="0.15">
      <c r="A182" s="23"/>
      <c r="B182" s="23"/>
      <c r="C182" s="23"/>
      <c r="D182" s="49"/>
      <c r="E182" s="49"/>
      <c r="F182" s="85"/>
      <c r="G182" s="50"/>
      <c r="H182" s="42"/>
      <c r="I182" s="49"/>
      <c r="J182" s="49"/>
    </row>
    <row r="183" spans="1:10" s="2" customFormat="1" ht="22.5" customHeight="1" x14ac:dyDescent="0.15">
      <c r="A183" s="23"/>
      <c r="B183" s="23"/>
      <c r="C183" s="23"/>
      <c r="D183" s="49"/>
      <c r="E183" s="49"/>
      <c r="F183" s="85"/>
      <c r="G183" s="50"/>
      <c r="H183" s="42"/>
      <c r="I183" s="49"/>
      <c r="J183" s="49"/>
    </row>
    <row r="184" spans="1:10" s="2" customFormat="1" ht="22.5" customHeight="1" x14ac:dyDescent="0.15">
      <c r="A184" s="23"/>
      <c r="B184" s="23"/>
      <c r="C184" s="23"/>
      <c r="D184" s="49"/>
      <c r="E184" s="49"/>
      <c r="F184" s="85"/>
      <c r="G184" s="50"/>
      <c r="H184" s="42"/>
      <c r="I184" s="49"/>
      <c r="J184" s="49"/>
    </row>
    <row r="185" spans="1:10" s="2" customFormat="1" ht="22.5" customHeight="1" x14ac:dyDescent="0.15">
      <c r="A185" s="23"/>
      <c r="B185" s="23"/>
      <c r="C185" s="23"/>
      <c r="D185" s="49"/>
      <c r="E185" s="49"/>
      <c r="F185" s="85"/>
      <c r="G185" s="50"/>
      <c r="H185" s="42"/>
      <c r="I185" s="49"/>
      <c r="J185" s="49"/>
    </row>
    <row r="186" spans="1:10" s="2" customFormat="1" ht="22.5" customHeight="1" x14ac:dyDescent="0.15">
      <c r="A186" s="23"/>
      <c r="B186" s="23"/>
      <c r="C186" s="23"/>
      <c r="D186" s="49"/>
      <c r="E186" s="49"/>
      <c r="F186" s="85"/>
      <c r="G186" s="50"/>
      <c r="H186" s="42"/>
      <c r="I186" s="49"/>
      <c r="J186" s="49"/>
    </row>
    <row r="187" spans="1:10" s="2" customFormat="1" ht="22.5" customHeight="1" x14ac:dyDescent="0.15">
      <c r="A187" s="23"/>
      <c r="B187" s="23"/>
      <c r="C187" s="23"/>
      <c r="D187" s="49"/>
      <c r="E187" s="49"/>
      <c r="F187" s="85"/>
      <c r="G187" s="50"/>
      <c r="H187" s="42"/>
      <c r="I187" s="49"/>
      <c r="J187" s="49"/>
    </row>
    <row r="188" spans="1:10" s="2" customFormat="1" ht="22.5" customHeight="1" x14ac:dyDescent="0.15">
      <c r="A188" s="23"/>
      <c r="B188" s="23"/>
      <c r="C188" s="23"/>
      <c r="D188" s="49"/>
      <c r="E188" s="49"/>
      <c r="F188" s="85"/>
      <c r="G188" s="50"/>
      <c r="H188" s="42"/>
      <c r="I188" s="49"/>
      <c r="J188" s="49"/>
    </row>
    <row r="189" spans="1:10" s="2" customFormat="1" ht="22.5" customHeight="1" x14ac:dyDescent="0.15">
      <c r="A189" s="23"/>
      <c r="B189" s="23"/>
      <c r="C189" s="23"/>
      <c r="D189" s="49"/>
      <c r="E189" s="49"/>
      <c r="F189" s="85"/>
      <c r="G189" s="50"/>
      <c r="H189" s="42"/>
      <c r="I189" s="49"/>
      <c r="J189" s="49"/>
    </row>
    <row r="190" spans="1:10" s="2" customFormat="1" ht="22.5" customHeight="1" x14ac:dyDescent="0.15">
      <c r="A190" s="23"/>
      <c r="B190" s="23"/>
      <c r="C190" s="23"/>
      <c r="D190" s="49"/>
      <c r="E190" s="49"/>
      <c r="F190" s="85"/>
      <c r="G190" s="50"/>
      <c r="H190" s="42"/>
      <c r="I190" s="49"/>
      <c r="J190" s="49"/>
    </row>
    <row r="191" spans="1:10" s="2" customFormat="1" ht="22.5" customHeight="1" x14ac:dyDescent="0.15">
      <c r="A191" s="23"/>
      <c r="B191" s="23"/>
      <c r="C191" s="23"/>
      <c r="D191" s="49"/>
      <c r="E191" s="49"/>
      <c r="F191" s="85"/>
      <c r="G191" s="50"/>
      <c r="H191" s="42"/>
      <c r="I191" s="49"/>
      <c r="J191" s="49"/>
    </row>
    <row r="192" spans="1:10" s="2" customFormat="1" ht="22.5" customHeight="1" x14ac:dyDescent="0.15">
      <c r="A192" s="23"/>
      <c r="B192" s="23"/>
      <c r="C192" s="23"/>
      <c r="D192" s="49"/>
      <c r="E192" s="49"/>
      <c r="F192" s="85"/>
      <c r="G192" s="50"/>
      <c r="H192" s="42"/>
      <c r="I192" s="49"/>
      <c r="J192" s="49"/>
    </row>
    <row r="193" spans="1:10" s="2" customFormat="1" ht="22.5" customHeight="1" x14ac:dyDescent="0.15">
      <c r="A193" s="23"/>
      <c r="B193" s="23"/>
      <c r="C193" s="23"/>
      <c r="D193" s="49"/>
      <c r="E193" s="49"/>
      <c r="F193" s="85"/>
      <c r="G193" s="50"/>
      <c r="H193" s="42"/>
      <c r="I193" s="49"/>
      <c r="J193" s="49"/>
    </row>
    <row r="194" spans="1:10" s="2" customFormat="1" ht="22.5" customHeight="1" x14ac:dyDescent="0.15">
      <c r="A194" s="23"/>
      <c r="B194" s="23"/>
      <c r="C194" s="23"/>
      <c r="D194" s="49"/>
      <c r="E194" s="49"/>
      <c r="F194" s="85"/>
      <c r="G194" s="50"/>
      <c r="H194" s="42"/>
      <c r="I194" s="49"/>
      <c r="J194" s="49"/>
    </row>
    <row r="195" spans="1:10" s="2" customFormat="1" ht="22.5" customHeight="1" x14ac:dyDescent="0.15">
      <c r="A195" s="23"/>
      <c r="B195" s="23"/>
      <c r="C195" s="23"/>
      <c r="D195" s="49"/>
      <c r="E195" s="49"/>
      <c r="F195" s="85"/>
      <c r="G195" s="50"/>
      <c r="H195" s="42"/>
      <c r="I195" s="49"/>
      <c r="J195" s="49"/>
    </row>
    <row r="196" spans="1:10" s="2" customFormat="1" ht="22.5" customHeight="1" x14ac:dyDescent="0.15">
      <c r="A196" s="23"/>
      <c r="B196" s="23"/>
      <c r="C196" s="23"/>
      <c r="D196" s="49"/>
      <c r="E196" s="49"/>
      <c r="F196" s="85"/>
      <c r="G196" s="50"/>
      <c r="H196" s="42"/>
      <c r="I196" s="49"/>
      <c r="J196" s="49"/>
    </row>
    <row r="197" spans="1:10" s="2" customFormat="1" ht="22.5" customHeight="1" x14ac:dyDescent="0.15">
      <c r="A197" s="23"/>
      <c r="B197" s="23"/>
      <c r="C197" s="23"/>
      <c r="D197" s="49"/>
      <c r="E197" s="49"/>
      <c r="F197" s="85"/>
      <c r="G197" s="50"/>
      <c r="H197" s="42"/>
      <c r="I197" s="49"/>
      <c r="J197" s="49"/>
    </row>
    <row r="198" spans="1:10" s="2" customFormat="1" ht="22.5" customHeight="1" x14ac:dyDescent="0.15">
      <c r="A198" s="23"/>
      <c r="B198" s="23"/>
      <c r="C198" s="23"/>
      <c r="D198" s="49"/>
      <c r="E198" s="49"/>
      <c r="F198" s="85"/>
      <c r="G198" s="50"/>
      <c r="H198" s="42"/>
      <c r="I198" s="49"/>
      <c r="J198" s="49"/>
    </row>
    <row r="199" spans="1:10" s="2" customFormat="1" ht="22.5" customHeight="1" x14ac:dyDescent="0.15">
      <c r="A199" s="23"/>
      <c r="B199" s="23"/>
      <c r="C199" s="23"/>
      <c r="D199" s="49"/>
      <c r="E199" s="49"/>
      <c r="F199" s="85"/>
      <c r="G199" s="50"/>
      <c r="H199" s="42"/>
      <c r="I199" s="49"/>
      <c r="J199" s="49"/>
    </row>
    <row r="200" spans="1:10" s="2" customFormat="1" ht="22.5" customHeight="1" x14ac:dyDescent="0.15">
      <c r="A200" s="23"/>
      <c r="B200" s="23"/>
      <c r="C200" s="23"/>
      <c r="D200" s="49"/>
      <c r="E200" s="49"/>
      <c r="F200" s="85"/>
      <c r="G200" s="50"/>
      <c r="H200" s="42"/>
      <c r="I200" s="49"/>
      <c r="J200" s="49"/>
    </row>
    <row r="201" spans="1:10" s="2" customFormat="1" ht="22.5" customHeight="1" x14ac:dyDescent="0.15">
      <c r="A201" s="23"/>
      <c r="B201" s="23"/>
      <c r="C201" s="23"/>
      <c r="D201" s="49"/>
      <c r="E201" s="49"/>
      <c r="F201" s="85"/>
      <c r="G201" s="50"/>
      <c r="H201" s="42"/>
      <c r="I201" s="49"/>
      <c r="J201" s="49"/>
    </row>
    <row r="202" spans="1:10" s="2" customFormat="1" ht="22.5" customHeight="1" x14ac:dyDescent="0.15">
      <c r="A202" s="23"/>
      <c r="B202" s="23"/>
      <c r="C202" s="23"/>
      <c r="D202" s="49"/>
      <c r="E202" s="49"/>
      <c r="F202" s="85"/>
      <c r="G202" s="50"/>
      <c r="H202" s="42"/>
      <c r="I202" s="49"/>
      <c r="J202" s="49"/>
    </row>
    <row r="203" spans="1:10" s="2" customFormat="1" ht="22.5" customHeight="1" x14ac:dyDescent="0.15">
      <c r="A203" s="23"/>
      <c r="B203" s="23"/>
      <c r="C203" s="23"/>
      <c r="D203" s="49"/>
      <c r="E203" s="49"/>
      <c r="F203" s="85"/>
      <c r="G203" s="50"/>
      <c r="H203" s="42"/>
      <c r="I203" s="49"/>
      <c r="J203" s="49"/>
    </row>
    <row r="204" spans="1:10" s="2" customFormat="1" ht="22.5" customHeight="1" x14ac:dyDescent="0.15">
      <c r="A204" s="23"/>
      <c r="B204" s="23"/>
      <c r="C204" s="23"/>
      <c r="D204" s="49"/>
      <c r="E204" s="49"/>
      <c r="F204" s="85"/>
      <c r="G204" s="50"/>
      <c r="H204" s="42"/>
      <c r="I204" s="49"/>
      <c r="J204" s="49"/>
    </row>
    <row r="205" spans="1:10" s="2" customFormat="1" ht="22.5" customHeight="1" x14ac:dyDescent="0.15">
      <c r="A205" s="23"/>
      <c r="B205" s="23"/>
      <c r="C205" s="23"/>
      <c r="D205" s="49"/>
      <c r="E205" s="49"/>
      <c r="F205" s="85"/>
      <c r="G205" s="50"/>
      <c r="H205" s="42"/>
      <c r="I205" s="49"/>
      <c r="J205" s="49"/>
    </row>
    <row r="206" spans="1:10" s="2" customFormat="1" ht="22.5" customHeight="1" x14ac:dyDescent="0.15">
      <c r="A206" s="23"/>
      <c r="B206" s="23"/>
      <c r="C206" s="23"/>
      <c r="D206" s="49"/>
      <c r="E206" s="49"/>
      <c r="F206" s="85"/>
      <c r="G206" s="50"/>
      <c r="H206" s="42"/>
      <c r="I206" s="49"/>
      <c r="J206" s="49"/>
    </row>
    <row r="207" spans="1:10" s="2" customFormat="1" ht="22.5" customHeight="1" x14ac:dyDescent="0.15">
      <c r="A207" s="23"/>
      <c r="B207" s="23"/>
      <c r="C207" s="23"/>
      <c r="D207" s="49"/>
      <c r="E207" s="49"/>
      <c r="F207" s="85"/>
      <c r="G207" s="50"/>
      <c r="H207" s="42"/>
      <c r="I207" s="49"/>
      <c r="J207" s="49"/>
    </row>
    <row r="208" spans="1:10" s="2" customFormat="1" ht="22.5" customHeight="1" x14ac:dyDescent="0.15">
      <c r="A208" s="23"/>
      <c r="B208" s="23"/>
      <c r="C208" s="23"/>
      <c r="D208" s="49"/>
      <c r="E208" s="49"/>
      <c r="F208" s="85"/>
      <c r="G208" s="50"/>
      <c r="H208" s="42"/>
      <c r="I208" s="49"/>
      <c r="J208" s="49"/>
    </row>
    <row r="209" spans="1:10" s="2" customFormat="1" ht="22.5" customHeight="1" x14ac:dyDescent="0.15">
      <c r="A209" s="23"/>
      <c r="B209" s="23"/>
      <c r="C209" s="23"/>
      <c r="D209" s="49"/>
      <c r="E209" s="49"/>
      <c r="F209" s="85"/>
      <c r="G209" s="50"/>
      <c r="H209" s="42"/>
      <c r="I209" s="49"/>
      <c r="J209" s="49"/>
    </row>
    <row r="210" spans="1:10" s="2" customFormat="1" ht="22.5" customHeight="1" x14ac:dyDescent="0.15">
      <c r="A210" s="23"/>
      <c r="B210" s="23"/>
      <c r="C210" s="23"/>
      <c r="D210" s="49"/>
      <c r="E210" s="49"/>
      <c r="F210" s="85"/>
      <c r="G210" s="50"/>
      <c r="H210" s="42"/>
      <c r="I210" s="49"/>
      <c r="J210" s="49"/>
    </row>
    <row r="211" spans="1:10" s="2" customFormat="1" ht="22.5" customHeight="1" x14ac:dyDescent="0.15">
      <c r="A211" s="23"/>
      <c r="B211" s="23"/>
      <c r="C211" s="23"/>
      <c r="D211" s="49"/>
      <c r="E211" s="49"/>
      <c r="F211" s="85"/>
      <c r="G211" s="50"/>
      <c r="H211" s="42"/>
      <c r="I211" s="49"/>
      <c r="J211" s="49"/>
    </row>
    <row r="212" spans="1:10" s="2" customFormat="1" ht="22.5" customHeight="1" x14ac:dyDescent="0.15">
      <c r="A212" s="23"/>
      <c r="B212" s="23"/>
      <c r="C212" s="23"/>
      <c r="D212" s="49"/>
      <c r="E212" s="49"/>
      <c r="F212" s="85"/>
      <c r="G212" s="50"/>
      <c r="H212" s="42"/>
      <c r="I212" s="49"/>
      <c r="J212" s="49"/>
    </row>
    <row r="213" spans="1:10" s="2" customFormat="1" ht="22.5" customHeight="1" x14ac:dyDescent="0.15">
      <c r="A213" s="23"/>
      <c r="B213" s="23"/>
      <c r="C213" s="23"/>
      <c r="D213" s="49"/>
      <c r="E213" s="49"/>
      <c r="F213" s="85"/>
      <c r="G213" s="50"/>
      <c r="H213" s="42"/>
      <c r="I213" s="49"/>
      <c r="J213" s="49"/>
    </row>
    <row r="214" spans="1:10" s="2" customFormat="1" ht="22.5" customHeight="1" x14ac:dyDescent="0.15">
      <c r="A214" s="23"/>
      <c r="B214" s="23"/>
      <c r="C214" s="23"/>
      <c r="D214" s="49"/>
      <c r="E214" s="49"/>
      <c r="F214" s="85"/>
      <c r="G214" s="50"/>
      <c r="H214" s="42"/>
      <c r="I214" s="49"/>
      <c r="J214" s="49"/>
    </row>
    <row r="215" spans="1:10" s="2" customFormat="1" ht="22.5" customHeight="1" x14ac:dyDescent="0.15">
      <c r="A215" s="23"/>
      <c r="B215" s="23"/>
      <c r="C215" s="23"/>
      <c r="D215" s="49"/>
      <c r="E215" s="49"/>
      <c r="F215" s="85"/>
      <c r="G215" s="50"/>
      <c r="H215" s="42"/>
      <c r="I215" s="49"/>
      <c r="J215" s="49"/>
    </row>
    <row r="216" spans="1:10" s="2" customFormat="1" ht="22.5" customHeight="1" x14ac:dyDescent="0.15">
      <c r="A216" s="23"/>
      <c r="B216" s="23"/>
      <c r="C216" s="23"/>
      <c r="D216" s="49"/>
      <c r="E216" s="49"/>
      <c r="F216" s="85"/>
      <c r="G216" s="50"/>
      <c r="H216" s="42"/>
      <c r="I216" s="49"/>
      <c r="J216" s="49"/>
    </row>
    <row r="217" spans="1:10" s="2" customFormat="1" ht="22.5" customHeight="1" x14ac:dyDescent="0.15">
      <c r="A217" s="23"/>
      <c r="B217" s="23"/>
      <c r="C217" s="23"/>
      <c r="D217" s="49"/>
      <c r="E217" s="49"/>
      <c r="F217" s="85"/>
      <c r="G217" s="50"/>
      <c r="H217" s="42"/>
      <c r="I217" s="49"/>
      <c r="J217" s="49"/>
    </row>
    <row r="218" spans="1:10" s="2" customFormat="1" ht="22.5" customHeight="1" x14ac:dyDescent="0.15">
      <c r="A218" s="23"/>
      <c r="B218" s="23"/>
      <c r="C218" s="23"/>
      <c r="D218" s="49"/>
      <c r="E218" s="49"/>
      <c r="F218" s="85"/>
      <c r="G218" s="50"/>
      <c r="H218" s="42"/>
      <c r="I218" s="49"/>
      <c r="J218" s="49"/>
    </row>
    <row r="219" spans="1:10" s="2" customFormat="1" ht="22.5" customHeight="1" x14ac:dyDescent="0.15">
      <c r="A219" s="23"/>
      <c r="B219" s="23"/>
      <c r="C219" s="23"/>
      <c r="D219" s="49"/>
      <c r="E219" s="49"/>
      <c r="F219" s="85"/>
      <c r="G219" s="50"/>
      <c r="H219" s="42"/>
      <c r="I219" s="49"/>
      <c r="J219" s="49"/>
    </row>
    <row r="220" spans="1:10" s="2" customFormat="1" ht="22.5" customHeight="1" x14ac:dyDescent="0.15">
      <c r="A220" s="23"/>
      <c r="B220" s="23"/>
      <c r="C220" s="23"/>
      <c r="D220" s="49"/>
      <c r="E220" s="49"/>
      <c r="F220" s="85"/>
      <c r="G220" s="50"/>
      <c r="H220" s="42"/>
      <c r="I220" s="49"/>
      <c r="J220" s="49"/>
    </row>
    <row r="221" spans="1:10" s="2" customFormat="1" ht="22.5" customHeight="1" x14ac:dyDescent="0.15">
      <c r="A221" s="23"/>
      <c r="B221" s="23"/>
      <c r="C221" s="23"/>
      <c r="D221" s="49"/>
      <c r="E221" s="49"/>
      <c r="F221" s="85"/>
      <c r="G221" s="50"/>
      <c r="H221" s="42"/>
      <c r="I221" s="49"/>
      <c r="J221" s="49"/>
    </row>
    <row r="222" spans="1:10" s="2" customFormat="1" ht="22.5" customHeight="1" x14ac:dyDescent="0.15">
      <c r="A222" s="23"/>
      <c r="B222" s="23"/>
      <c r="C222" s="23"/>
      <c r="D222" s="49"/>
      <c r="E222" s="49"/>
      <c r="F222" s="85"/>
      <c r="G222" s="50"/>
      <c r="H222" s="42"/>
      <c r="I222" s="49"/>
      <c r="J222" s="49"/>
    </row>
    <row r="223" spans="1:10" s="2" customFormat="1" ht="22.5" customHeight="1" x14ac:dyDescent="0.15">
      <c r="A223" s="23"/>
      <c r="B223" s="23"/>
      <c r="C223" s="23"/>
      <c r="D223" s="49"/>
      <c r="E223" s="49"/>
      <c r="F223" s="85"/>
      <c r="G223" s="50"/>
      <c r="H223" s="42"/>
      <c r="I223" s="49"/>
      <c r="J223" s="49"/>
    </row>
    <row r="224" spans="1:10" s="2" customFormat="1" ht="22.5" customHeight="1" x14ac:dyDescent="0.15">
      <c r="A224" s="23"/>
      <c r="B224" s="23"/>
      <c r="C224" s="23"/>
      <c r="D224" s="49"/>
      <c r="E224" s="49"/>
      <c r="F224" s="85"/>
      <c r="G224" s="50"/>
      <c r="H224" s="42"/>
      <c r="I224" s="49"/>
      <c r="J224" s="49"/>
    </row>
    <row r="225" spans="1:10" s="2" customFormat="1" ht="22.5" customHeight="1" x14ac:dyDescent="0.15">
      <c r="A225" s="23"/>
      <c r="B225" s="23"/>
      <c r="C225" s="23"/>
      <c r="D225" s="49"/>
      <c r="E225" s="49"/>
      <c r="F225" s="85"/>
      <c r="G225" s="50"/>
      <c r="H225" s="42"/>
      <c r="I225" s="49"/>
      <c r="J225" s="49"/>
    </row>
    <row r="226" spans="1:10" s="2" customFormat="1" ht="22.5" customHeight="1" x14ac:dyDescent="0.15">
      <c r="A226" s="23"/>
      <c r="B226" s="23"/>
      <c r="C226" s="23"/>
      <c r="D226" s="49"/>
      <c r="E226" s="49"/>
      <c r="F226" s="85"/>
      <c r="G226" s="50"/>
      <c r="H226" s="42"/>
      <c r="I226" s="49"/>
      <c r="J226" s="49"/>
    </row>
    <row r="227" spans="1:10" s="2" customFormat="1" ht="22.5" customHeight="1" x14ac:dyDescent="0.15">
      <c r="A227" s="23"/>
      <c r="B227" s="23"/>
      <c r="C227" s="23"/>
      <c r="D227" s="49"/>
      <c r="E227" s="49"/>
      <c r="F227" s="85"/>
      <c r="G227" s="50"/>
      <c r="H227" s="42"/>
      <c r="I227" s="49"/>
      <c r="J227" s="49"/>
    </row>
    <row r="228" spans="1:10" s="2" customFormat="1" ht="22.5" customHeight="1" x14ac:dyDescent="0.15">
      <c r="A228" s="23"/>
      <c r="B228" s="23"/>
      <c r="C228" s="23"/>
      <c r="D228" s="49"/>
      <c r="E228" s="49"/>
      <c r="F228" s="85"/>
      <c r="G228" s="50"/>
      <c r="H228" s="42"/>
      <c r="I228" s="49"/>
      <c r="J228" s="49"/>
    </row>
    <row r="229" spans="1:10" s="2" customFormat="1" ht="22.5" customHeight="1" x14ac:dyDescent="0.15">
      <c r="A229" s="23"/>
      <c r="B229" s="23"/>
      <c r="C229" s="23"/>
      <c r="D229" s="49"/>
      <c r="E229" s="49"/>
      <c r="F229" s="85"/>
      <c r="G229" s="50"/>
      <c r="H229" s="42"/>
      <c r="I229" s="49"/>
      <c r="J229" s="49"/>
    </row>
    <row r="230" spans="1:10" s="2" customFormat="1" ht="22.5" customHeight="1" x14ac:dyDescent="0.15">
      <c r="A230" s="23"/>
      <c r="B230" s="23"/>
      <c r="C230" s="23"/>
      <c r="D230" s="49"/>
      <c r="E230" s="49"/>
      <c r="F230" s="85"/>
      <c r="G230" s="50"/>
      <c r="H230" s="42"/>
      <c r="I230" s="49"/>
      <c r="J230" s="49"/>
    </row>
    <row r="231" spans="1:10" s="2" customFormat="1" ht="22.5" customHeight="1" x14ac:dyDescent="0.15">
      <c r="A231" s="23"/>
      <c r="B231" s="23"/>
      <c r="C231" s="23"/>
      <c r="D231" s="49"/>
      <c r="E231" s="49"/>
      <c r="F231" s="85"/>
      <c r="G231" s="50"/>
      <c r="H231" s="42"/>
      <c r="I231" s="49"/>
      <c r="J231" s="49"/>
    </row>
    <row r="232" spans="1:10" s="2" customFormat="1" ht="22.5" customHeight="1" x14ac:dyDescent="0.15">
      <c r="A232" s="23"/>
      <c r="B232" s="23"/>
      <c r="C232" s="23"/>
      <c r="D232" s="49"/>
      <c r="E232" s="49"/>
      <c r="F232" s="85"/>
      <c r="G232" s="50"/>
      <c r="H232" s="42"/>
      <c r="I232" s="49"/>
      <c r="J232" s="49"/>
    </row>
    <row r="233" spans="1:10" s="2" customFormat="1" ht="22.5" customHeight="1" x14ac:dyDescent="0.15">
      <c r="A233" s="23"/>
      <c r="B233" s="23"/>
      <c r="C233" s="23"/>
      <c r="D233" s="49"/>
      <c r="E233" s="49"/>
      <c r="F233" s="85"/>
      <c r="G233" s="50"/>
      <c r="H233" s="42"/>
      <c r="I233" s="49"/>
      <c r="J233" s="49"/>
    </row>
    <row r="234" spans="1:10" s="2" customFormat="1" ht="22.5" customHeight="1" x14ac:dyDescent="0.15">
      <c r="A234" s="23"/>
      <c r="B234" s="23"/>
      <c r="C234" s="23"/>
      <c r="D234" s="49"/>
      <c r="E234" s="49"/>
      <c r="F234" s="85"/>
      <c r="G234" s="50"/>
      <c r="H234" s="42"/>
      <c r="I234" s="49"/>
      <c r="J234" s="49"/>
    </row>
    <row r="235" spans="1:10" s="2" customFormat="1" ht="22.5" customHeight="1" x14ac:dyDescent="0.15">
      <c r="A235" s="23"/>
      <c r="B235" s="23"/>
      <c r="C235" s="23"/>
      <c r="D235" s="49"/>
      <c r="E235" s="49"/>
      <c r="F235" s="85"/>
      <c r="G235" s="50"/>
      <c r="H235" s="42"/>
      <c r="I235" s="49"/>
      <c r="J235" s="49"/>
    </row>
    <row r="236" spans="1:10" s="2" customFormat="1" ht="22.5" customHeight="1" x14ac:dyDescent="0.15">
      <c r="A236" s="23"/>
      <c r="B236" s="23"/>
      <c r="C236" s="23"/>
      <c r="D236" s="49"/>
      <c r="E236" s="49"/>
      <c r="F236" s="85"/>
      <c r="G236" s="50"/>
      <c r="H236" s="42"/>
      <c r="I236" s="49"/>
      <c r="J236" s="49"/>
    </row>
    <row r="237" spans="1:10" s="2" customFormat="1" ht="22.5" customHeight="1" x14ac:dyDescent="0.15">
      <c r="A237" s="23"/>
      <c r="B237" s="23"/>
      <c r="C237" s="23"/>
      <c r="D237" s="49"/>
      <c r="E237" s="49"/>
      <c r="F237" s="85"/>
      <c r="G237" s="50"/>
      <c r="H237" s="42"/>
      <c r="I237" s="49"/>
      <c r="J237" s="49"/>
    </row>
    <row r="238" spans="1:10" s="2" customFormat="1" ht="22.5" customHeight="1" x14ac:dyDescent="0.15">
      <c r="A238" s="23"/>
      <c r="B238" s="23"/>
      <c r="C238" s="23"/>
      <c r="D238" s="49"/>
      <c r="E238" s="49"/>
      <c r="F238" s="85"/>
      <c r="G238" s="50"/>
      <c r="H238" s="42"/>
      <c r="I238" s="49"/>
      <c r="J238" s="49"/>
    </row>
    <row r="239" spans="1:10" s="2" customFormat="1" ht="22.5" customHeight="1" x14ac:dyDescent="0.15">
      <c r="A239" s="23"/>
      <c r="B239" s="23"/>
      <c r="C239" s="23"/>
      <c r="D239" s="49"/>
      <c r="E239" s="49"/>
      <c r="F239" s="85"/>
      <c r="G239" s="50"/>
      <c r="H239" s="42"/>
      <c r="I239" s="49"/>
      <c r="J239" s="49"/>
    </row>
    <row r="240" spans="1:10" s="2" customFormat="1" ht="22.5" customHeight="1" x14ac:dyDescent="0.15">
      <c r="A240" s="23"/>
      <c r="B240" s="23"/>
      <c r="C240" s="23"/>
      <c r="D240" s="49"/>
      <c r="E240" s="49"/>
      <c r="F240" s="85"/>
      <c r="G240" s="50"/>
      <c r="H240" s="42"/>
      <c r="I240" s="49"/>
      <c r="J240" s="49"/>
    </row>
    <row r="241" spans="1:10" s="2" customFormat="1" ht="22.5" customHeight="1" x14ac:dyDescent="0.15">
      <c r="A241" s="23"/>
      <c r="B241" s="23"/>
      <c r="C241" s="23"/>
      <c r="D241" s="49"/>
      <c r="E241" s="49"/>
      <c r="F241" s="85"/>
      <c r="G241" s="50"/>
      <c r="H241" s="42"/>
      <c r="I241" s="49"/>
      <c r="J241" s="49"/>
    </row>
    <row r="242" spans="1:10" s="2" customFormat="1" ht="22.5" customHeight="1" x14ac:dyDescent="0.15">
      <c r="A242" s="23"/>
      <c r="B242" s="23"/>
      <c r="C242" s="23"/>
      <c r="D242" s="49"/>
      <c r="E242" s="49"/>
      <c r="F242" s="85"/>
      <c r="G242" s="50"/>
      <c r="H242" s="42"/>
      <c r="I242" s="49"/>
      <c r="J242" s="49"/>
    </row>
    <row r="243" spans="1:10" s="2" customFormat="1" ht="22.5" customHeight="1" x14ac:dyDescent="0.15">
      <c r="A243" s="23"/>
      <c r="B243" s="23"/>
      <c r="C243" s="23"/>
      <c r="D243" s="49"/>
      <c r="E243" s="49"/>
      <c r="F243" s="85"/>
      <c r="G243" s="50"/>
      <c r="H243" s="42"/>
      <c r="I243" s="49"/>
      <c r="J243" s="49"/>
    </row>
    <row r="244" spans="1:10" s="2" customFormat="1" ht="22.5" customHeight="1" x14ac:dyDescent="0.15">
      <c r="A244" s="23"/>
      <c r="B244" s="23"/>
      <c r="C244" s="23"/>
      <c r="D244" s="49"/>
      <c r="E244" s="49"/>
      <c r="F244" s="85"/>
      <c r="G244" s="50"/>
      <c r="H244" s="42"/>
      <c r="I244" s="49"/>
      <c r="J244" s="49"/>
    </row>
    <row r="245" spans="1:10" s="2" customFormat="1" ht="22.5" customHeight="1" x14ac:dyDescent="0.15">
      <c r="A245" s="23"/>
      <c r="B245" s="23"/>
      <c r="C245" s="23"/>
      <c r="D245" s="49"/>
      <c r="E245" s="49"/>
      <c r="F245" s="85"/>
      <c r="G245" s="50"/>
      <c r="H245" s="42"/>
      <c r="I245" s="49"/>
      <c r="J245" s="49"/>
    </row>
    <row r="246" spans="1:10" s="2" customFormat="1" ht="22.5" customHeight="1" x14ac:dyDescent="0.15">
      <c r="A246" s="23"/>
      <c r="B246" s="23"/>
      <c r="C246" s="23"/>
      <c r="D246" s="49"/>
      <c r="E246" s="49"/>
      <c r="F246" s="85"/>
      <c r="G246" s="50"/>
      <c r="H246" s="42"/>
      <c r="I246" s="49"/>
      <c r="J246" s="49"/>
    </row>
    <row r="247" spans="1:10" s="2" customFormat="1" ht="22.5" customHeight="1" x14ac:dyDescent="0.15">
      <c r="A247" s="23"/>
      <c r="B247" s="23"/>
      <c r="C247" s="23"/>
      <c r="D247" s="49"/>
      <c r="E247" s="49"/>
      <c r="F247" s="85"/>
      <c r="G247" s="50"/>
      <c r="H247" s="42"/>
      <c r="I247" s="49"/>
      <c r="J247" s="49"/>
    </row>
    <row r="248" spans="1:10" s="2" customFormat="1" ht="22.5" customHeight="1" x14ac:dyDescent="0.15">
      <c r="A248" s="23"/>
      <c r="B248" s="23"/>
      <c r="C248" s="23"/>
      <c r="D248" s="49"/>
      <c r="E248" s="49"/>
      <c r="F248" s="85"/>
      <c r="G248" s="50"/>
      <c r="H248" s="42"/>
      <c r="I248" s="49"/>
      <c r="J248" s="49"/>
    </row>
    <row r="249" spans="1:10" s="2" customFormat="1" ht="22.5" customHeight="1" x14ac:dyDescent="0.15">
      <c r="A249" s="23"/>
      <c r="B249" s="23"/>
      <c r="C249" s="23"/>
      <c r="D249" s="49"/>
      <c r="E249" s="49"/>
      <c r="F249" s="85"/>
      <c r="G249" s="50"/>
      <c r="H249" s="42"/>
      <c r="I249" s="49"/>
      <c r="J249" s="49"/>
    </row>
    <row r="250" spans="1:10" s="2" customFormat="1" ht="22.5" customHeight="1" x14ac:dyDescent="0.15">
      <c r="A250" s="23"/>
      <c r="B250" s="23"/>
      <c r="C250" s="23"/>
      <c r="D250" s="49"/>
      <c r="E250" s="49"/>
      <c r="F250" s="85"/>
      <c r="G250" s="50"/>
      <c r="H250" s="42"/>
      <c r="I250" s="49"/>
      <c r="J250" s="49"/>
    </row>
    <row r="251" spans="1:10" s="2" customFormat="1" ht="22.5" customHeight="1" x14ac:dyDescent="0.15">
      <c r="A251" s="23"/>
      <c r="B251" s="23"/>
      <c r="C251" s="23"/>
      <c r="D251" s="49"/>
      <c r="E251" s="49"/>
      <c r="F251" s="85"/>
      <c r="G251" s="50"/>
      <c r="H251" s="42"/>
      <c r="I251" s="49"/>
      <c r="J251" s="49"/>
    </row>
    <row r="252" spans="1:10" s="2" customFormat="1" ht="22.5" customHeight="1" x14ac:dyDescent="0.15">
      <c r="A252" s="23"/>
      <c r="B252" s="23"/>
      <c r="C252" s="23"/>
      <c r="D252" s="49"/>
      <c r="E252" s="49"/>
      <c r="F252" s="85"/>
      <c r="G252" s="50"/>
      <c r="H252" s="42"/>
      <c r="I252" s="49"/>
      <c r="J252" s="49"/>
    </row>
    <row r="253" spans="1:10" s="2" customFormat="1" ht="22.5" customHeight="1" x14ac:dyDescent="0.15">
      <c r="A253" s="23"/>
      <c r="B253" s="23"/>
      <c r="C253" s="23"/>
      <c r="D253" s="49"/>
      <c r="E253" s="49"/>
      <c r="F253" s="85"/>
      <c r="G253" s="50"/>
      <c r="H253" s="42"/>
      <c r="I253" s="49"/>
      <c r="J253" s="49"/>
    </row>
    <row r="254" spans="1:10" s="2" customFormat="1" ht="22.5" customHeight="1" x14ac:dyDescent="0.15">
      <c r="A254" s="23"/>
      <c r="B254" s="23"/>
      <c r="C254" s="23"/>
      <c r="D254" s="49"/>
      <c r="E254" s="49"/>
      <c r="F254" s="85"/>
      <c r="G254" s="50"/>
      <c r="H254" s="42"/>
      <c r="I254" s="49"/>
      <c r="J254" s="49"/>
    </row>
    <row r="255" spans="1:10" s="2" customFormat="1" ht="22.5" customHeight="1" x14ac:dyDescent="0.15">
      <c r="A255" s="23"/>
      <c r="B255" s="23"/>
      <c r="C255" s="23"/>
      <c r="D255" s="49"/>
      <c r="E255" s="49"/>
      <c r="F255" s="85"/>
      <c r="G255" s="50"/>
      <c r="H255" s="42"/>
      <c r="I255" s="49"/>
      <c r="J255" s="49"/>
    </row>
    <row r="256" spans="1:10" s="2" customFormat="1" ht="22.5" customHeight="1" x14ac:dyDescent="0.15">
      <c r="A256" s="23"/>
      <c r="B256" s="23"/>
      <c r="C256" s="23"/>
      <c r="D256" s="49"/>
      <c r="E256" s="49"/>
      <c r="F256" s="85"/>
      <c r="G256" s="50"/>
      <c r="H256" s="42"/>
      <c r="I256" s="49"/>
      <c r="J256" s="49"/>
    </row>
    <row r="257" spans="1:10" s="2" customFormat="1" ht="22.5" customHeight="1" x14ac:dyDescent="0.15">
      <c r="A257" s="23"/>
      <c r="B257" s="23"/>
      <c r="C257" s="23"/>
      <c r="D257" s="49"/>
      <c r="E257" s="49"/>
      <c r="F257" s="85"/>
      <c r="G257" s="50"/>
      <c r="H257" s="42"/>
      <c r="I257" s="49"/>
      <c r="J257" s="49"/>
    </row>
    <row r="258" spans="1:10" s="2" customFormat="1" ht="22.5" customHeight="1" x14ac:dyDescent="0.15">
      <c r="A258" s="23"/>
      <c r="B258" s="23"/>
      <c r="C258" s="23"/>
      <c r="D258" s="49"/>
      <c r="E258" s="49"/>
      <c r="F258" s="85"/>
      <c r="G258" s="50"/>
      <c r="H258" s="42"/>
      <c r="I258" s="49"/>
      <c r="J258" s="49"/>
    </row>
    <row r="259" spans="1:10" s="2" customFormat="1" ht="22.5" customHeight="1" x14ac:dyDescent="0.15">
      <c r="A259" s="23"/>
      <c r="B259" s="23"/>
      <c r="C259" s="23"/>
      <c r="D259" s="49"/>
      <c r="E259" s="49"/>
      <c r="F259" s="85"/>
      <c r="G259" s="50"/>
      <c r="H259" s="42"/>
      <c r="I259" s="49"/>
      <c r="J259" s="49"/>
    </row>
    <row r="260" spans="1:10" s="2" customFormat="1" ht="22.5" customHeight="1" x14ac:dyDescent="0.15">
      <c r="A260" s="23"/>
      <c r="B260" s="23"/>
      <c r="C260" s="23"/>
      <c r="D260" s="49"/>
      <c r="E260" s="49"/>
      <c r="F260" s="85"/>
      <c r="G260" s="50"/>
      <c r="H260" s="42"/>
      <c r="I260" s="49"/>
      <c r="J260" s="49"/>
    </row>
    <row r="261" spans="1:10" s="2" customFormat="1" ht="22.5" customHeight="1" x14ac:dyDescent="0.15">
      <c r="A261" s="23"/>
      <c r="B261" s="23"/>
      <c r="C261" s="23"/>
      <c r="D261" s="49"/>
      <c r="E261" s="49"/>
      <c r="F261" s="85"/>
      <c r="G261" s="50"/>
      <c r="H261" s="42"/>
      <c r="I261" s="49"/>
      <c r="J261" s="49"/>
    </row>
    <row r="262" spans="1:10" s="2" customFormat="1" ht="22.5" customHeight="1" x14ac:dyDescent="0.15">
      <c r="A262" s="23"/>
      <c r="B262" s="23"/>
      <c r="C262" s="23"/>
      <c r="D262" s="49"/>
      <c r="E262" s="49"/>
      <c r="F262" s="85"/>
      <c r="G262" s="50"/>
      <c r="H262" s="42"/>
      <c r="I262" s="49"/>
      <c r="J262" s="49"/>
    </row>
    <row r="263" spans="1:10" s="2" customFormat="1" ht="22.5" customHeight="1" x14ac:dyDescent="0.15">
      <c r="A263" s="23"/>
      <c r="B263" s="23"/>
      <c r="C263" s="23"/>
      <c r="D263" s="49"/>
      <c r="E263" s="49"/>
      <c r="F263" s="85"/>
      <c r="G263" s="50"/>
      <c r="H263" s="42"/>
      <c r="I263" s="49"/>
      <c r="J263" s="49"/>
    </row>
    <row r="264" spans="1:10" s="2" customFormat="1" ht="22.5" customHeight="1" x14ac:dyDescent="0.15">
      <c r="A264" s="23"/>
      <c r="B264" s="23"/>
      <c r="C264" s="23"/>
      <c r="D264" s="49"/>
      <c r="E264" s="49"/>
      <c r="F264" s="85"/>
      <c r="G264" s="50"/>
      <c r="H264" s="42"/>
      <c r="I264" s="49"/>
      <c r="J264" s="49"/>
    </row>
    <row r="265" spans="1:10" s="2" customFormat="1" ht="22.5" customHeight="1" x14ac:dyDescent="0.15">
      <c r="A265" s="23"/>
      <c r="B265" s="23"/>
      <c r="C265" s="23"/>
      <c r="D265" s="49"/>
      <c r="E265" s="49"/>
      <c r="F265" s="85"/>
      <c r="G265" s="50"/>
      <c r="H265" s="42"/>
      <c r="I265" s="49"/>
      <c r="J265" s="49"/>
    </row>
    <row r="266" spans="1:10" s="2" customFormat="1" ht="22.5" customHeight="1" x14ac:dyDescent="0.15">
      <c r="A266" s="23"/>
      <c r="B266" s="23"/>
      <c r="C266" s="23"/>
      <c r="D266" s="49"/>
      <c r="E266" s="49"/>
      <c r="F266" s="85"/>
      <c r="G266" s="50"/>
      <c r="H266" s="42"/>
      <c r="I266" s="49"/>
      <c r="J266" s="49"/>
    </row>
    <row r="267" spans="1:10" s="2" customFormat="1" ht="22.5" customHeight="1" x14ac:dyDescent="0.15">
      <c r="A267" s="23"/>
      <c r="B267" s="23"/>
      <c r="C267" s="23"/>
      <c r="D267" s="49"/>
      <c r="E267" s="49"/>
      <c r="F267" s="85"/>
      <c r="G267" s="50"/>
      <c r="H267" s="42"/>
      <c r="I267" s="49"/>
      <c r="J267" s="49"/>
    </row>
    <row r="268" spans="1:10" s="2" customFormat="1" ht="22.5" customHeight="1" x14ac:dyDescent="0.15">
      <c r="A268" s="23"/>
      <c r="B268" s="23"/>
      <c r="C268" s="23"/>
      <c r="D268" s="49"/>
      <c r="E268" s="49"/>
      <c r="F268" s="85"/>
      <c r="G268" s="50"/>
      <c r="H268" s="42"/>
      <c r="I268" s="49"/>
      <c r="J268" s="49"/>
    </row>
    <row r="269" spans="1:10" s="2" customFormat="1" ht="22.5" customHeight="1" x14ac:dyDescent="0.15">
      <c r="A269" s="23"/>
      <c r="B269" s="23"/>
      <c r="C269" s="23"/>
      <c r="D269" s="49"/>
      <c r="E269" s="49"/>
      <c r="F269" s="85"/>
      <c r="G269" s="50"/>
      <c r="H269" s="42"/>
      <c r="I269" s="49"/>
      <c r="J269" s="49"/>
    </row>
    <row r="270" spans="1:10" s="2" customFormat="1" ht="22.5" customHeight="1" x14ac:dyDescent="0.15">
      <c r="A270" s="23"/>
      <c r="B270" s="23"/>
      <c r="C270" s="23"/>
      <c r="D270" s="49"/>
      <c r="E270" s="49"/>
      <c r="F270" s="85"/>
      <c r="G270" s="50"/>
      <c r="H270" s="42"/>
      <c r="I270" s="49"/>
      <c r="J270" s="49"/>
    </row>
    <row r="271" spans="1:10" s="2" customFormat="1" ht="22.5" customHeight="1" x14ac:dyDescent="0.15">
      <c r="A271" s="23"/>
      <c r="B271" s="23"/>
      <c r="C271" s="23"/>
      <c r="D271" s="49"/>
      <c r="E271" s="49"/>
      <c r="F271" s="85"/>
      <c r="G271" s="50"/>
      <c r="H271" s="42"/>
      <c r="I271" s="49"/>
      <c r="J271" s="49"/>
    </row>
    <row r="272" spans="1:10" s="2" customFormat="1" ht="22.5" customHeight="1" x14ac:dyDescent="0.15">
      <c r="A272" s="23"/>
      <c r="B272" s="23"/>
      <c r="C272" s="23"/>
      <c r="D272" s="49"/>
      <c r="E272" s="49"/>
      <c r="F272" s="85"/>
      <c r="G272" s="50"/>
      <c r="H272" s="42"/>
      <c r="I272" s="49"/>
      <c r="J272" s="49"/>
    </row>
    <row r="273" spans="1:10" s="2" customFormat="1" ht="22.5" customHeight="1" x14ac:dyDescent="0.15">
      <c r="A273" s="23"/>
      <c r="B273" s="23"/>
      <c r="C273" s="23"/>
      <c r="D273" s="49"/>
      <c r="E273" s="49"/>
      <c r="F273" s="85"/>
      <c r="G273" s="50"/>
      <c r="H273" s="42"/>
      <c r="I273" s="49"/>
      <c r="J273" s="49"/>
    </row>
    <row r="274" spans="1:10" s="2" customFormat="1" ht="22.5" customHeight="1" x14ac:dyDescent="0.15">
      <c r="A274" s="23"/>
      <c r="B274" s="23"/>
      <c r="C274" s="23"/>
      <c r="D274" s="49"/>
      <c r="E274" s="49"/>
      <c r="F274" s="85"/>
      <c r="G274" s="50"/>
      <c r="H274" s="42"/>
      <c r="I274" s="49"/>
      <c r="J274" s="49"/>
    </row>
    <row r="275" spans="1:10" s="2" customFormat="1" ht="22.5" customHeight="1" x14ac:dyDescent="0.15">
      <c r="A275" s="23"/>
      <c r="B275" s="23"/>
      <c r="C275" s="23"/>
      <c r="D275" s="49"/>
      <c r="E275" s="49"/>
      <c r="F275" s="85"/>
      <c r="G275" s="50"/>
      <c r="H275" s="42"/>
      <c r="I275" s="49"/>
      <c r="J275" s="49"/>
    </row>
    <row r="276" spans="1:10" s="2" customFormat="1" ht="22.5" customHeight="1" x14ac:dyDescent="0.15">
      <c r="A276" s="23"/>
      <c r="B276" s="23"/>
      <c r="C276" s="23"/>
      <c r="D276" s="49"/>
      <c r="E276" s="49"/>
      <c r="F276" s="85"/>
      <c r="G276" s="50"/>
      <c r="H276" s="42"/>
      <c r="I276" s="49"/>
      <c r="J276" s="49"/>
    </row>
    <row r="277" spans="1:10" s="2" customFormat="1" ht="22.5" customHeight="1" x14ac:dyDescent="0.15">
      <c r="A277" s="23"/>
      <c r="B277" s="23"/>
      <c r="C277" s="23"/>
      <c r="D277" s="49"/>
      <c r="E277" s="49"/>
      <c r="F277" s="85"/>
      <c r="G277" s="50"/>
      <c r="H277" s="42"/>
      <c r="I277" s="49"/>
      <c r="J277" s="49"/>
    </row>
    <row r="278" spans="1:10" s="2" customFormat="1" ht="22.5" customHeight="1" x14ac:dyDescent="0.15">
      <c r="A278" s="23"/>
      <c r="B278" s="23"/>
      <c r="C278" s="23"/>
      <c r="D278" s="49"/>
      <c r="E278" s="49"/>
      <c r="F278" s="85"/>
      <c r="G278" s="50"/>
      <c r="H278" s="42"/>
      <c r="I278" s="49"/>
      <c r="J278" s="49"/>
    </row>
    <row r="279" spans="1:10" s="2" customFormat="1" ht="22.5" customHeight="1" x14ac:dyDescent="0.15">
      <c r="A279" s="23"/>
      <c r="B279" s="23"/>
      <c r="C279" s="23"/>
      <c r="D279" s="49"/>
      <c r="E279" s="49"/>
      <c r="F279" s="85"/>
      <c r="G279" s="50"/>
      <c r="H279" s="42"/>
      <c r="I279" s="49"/>
      <c r="J279" s="49"/>
    </row>
    <row r="280" spans="1:10" s="2" customFormat="1" ht="22.5" customHeight="1" x14ac:dyDescent="0.15">
      <c r="A280" s="23"/>
      <c r="B280" s="23"/>
      <c r="C280" s="23"/>
      <c r="D280" s="49"/>
      <c r="E280" s="49"/>
      <c r="F280" s="85"/>
      <c r="G280" s="50"/>
      <c r="H280" s="42"/>
      <c r="I280" s="49"/>
      <c r="J280" s="49"/>
    </row>
    <row r="281" spans="1:10" s="2" customFormat="1" ht="22.5" customHeight="1" x14ac:dyDescent="0.15">
      <c r="A281" s="23"/>
      <c r="B281" s="23"/>
      <c r="C281" s="23"/>
      <c r="D281" s="49"/>
      <c r="E281" s="49"/>
      <c r="F281" s="85"/>
      <c r="G281" s="50"/>
      <c r="H281" s="42"/>
      <c r="I281" s="49"/>
      <c r="J281" s="49"/>
    </row>
    <row r="282" spans="1:10" s="2" customFormat="1" ht="22.5" customHeight="1" x14ac:dyDescent="0.15">
      <c r="A282" s="23"/>
      <c r="B282" s="23"/>
      <c r="C282" s="23"/>
      <c r="D282" s="49"/>
      <c r="E282" s="49"/>
      <c r="F282" s="85"/>
      <c r="G282" s="50"/>
      <c r="H282" s="42"/>
      <c r="I282" s="49"/>
      <c r="J282" s="49"/>
    </row>
    <row r="283" spans="1:10" s="2" customFormat="1" ht="22.5" customHeight="1" x14ac:dyDescent="0.15">
      <c r="A283" s="23"/>
      <c r="B283" s="23"/>
      <c r="C283" s="23"/>
      <c r="D283" s="49"/>
      <c r="E283" s="49"/>
      <c r="F283" s="85"/>
      <c r="G283" s="50"/>
      <c r="H283" s="42"/>
      <c r="I283" s="49"/>
      <c r="J283" s="49"/>
    </row>
    <row r="284" spans="1:10" s="2" customFormat="1" ht="22.5" customHeight="1" x14ac:dyDescent="0.15">
      <c r="A284" s="23"/>
      <c r="B284" s="23"/>
      <c r="C284" s="23"/>
      <c r="D284" s="49"/>
      <c r="E284" s="49"/>
      <c r="F284" s="85"/>
      <c r="G284" s="50"/>
      <c r="H284" s="42"/>
      <c r="I284" s="49"/>
      <c r="J284" s="49"/>
    </row>
    <row r="285" spans="1:10" s="2" customFormat="1" ht="22.5" customHeight="1" x14ac:dyDescent="0.15">
      <c r="A285" s="23"/>
      <c r="B285" s="23"/>
      <c r="C285" s="23"/>
      <c r="D285" s="49"/>
      <c r="E285" s="49"/>
      <c r="F285" s="85"/>
      <c r="G285" s="50"/>
      <c r="H285" s="42"/>
      <c r="I285" s="49"/>
      <c r="J285" s="49"/>
    </row>
    <row r="286" spans="1:10" s="2" customFormat="1" ht="22.5" customHeight="1" x14ac:dyDescent="0.15">
      <c r="A286" s="23"/>
      <c r="B286" s="23"/>
      <c r="C286" s="23"/>
      <c r="D286" s="49"/>
      <c r="E286" s="49"/>
      <c r="F286" s="85"/>
      <c r="G286" s="50"/>
      <c r="H286" s="42"/>
      <c r="I286" s="49"/>
      <c r="J286" s="49"/>
    </row>
    <row r="287" spans="1:10" s="2" customFormat="1" ht="22.5" customHeight="1" x14ac:dyDescent="0.15">
      <c r="A287" s="23"/>
      <c r="B287" s="23"/>
      <c r="C287" s="23"/>
      <c r="D287" s="49"/>
      <c r="E287" s="49"/>
      <c r="F287" s="85"/>
      <c r="G287" s="50"/>
      <c r="H287" s="42"/>
      <c r="I287" s="49"/>
      <c r="J287" s="49"/>
    </row>
    <row r="288" spans="1:10" s="2" customFormat="1" ht="22.5" customHeight="1" x14ac:dyDescent="0.15">
      <c r="A288" s="23"/>
      <c r="B288" s="23"/>
      <c r="C288" s="23"/>
      <c r="D288" s="49"/>
      <c r="E288" s="49"/>
      <c r="F288" s="85"/>
      <c r="G288" s="50"/>
      <c r="H288" s="42"/>
      <c r="I288" s="49"/>
      <c r="J288" s="49"/>
    </row>
    <row r="289" spans="1:10" s="2" customFormat="1" ht="22.5" customHeight="1" x14ac:dyDescent="0.15">
      <c r="A289" s="23"/>
      <c r="B289" s="23"/>
      <c r="C289" s="23"/>
      <c r="D289" s="49"/>
      <c r="E289" s="49"/>
      <c r="F289" s="85"/>
      <c r="G289" s="50"/>
      <c r="H289" s="42"/>
      <c r="I289" s="49"/>
      <c r="J289" s="49"/>
    </row>
    <row r="290" spans="1:10" s="2" customFormat="1" ht="22.5" customHeight="1" x14ac:dyDescent="0.15">
      <c r="A290" s="23"/>
      <c r="B290" s="23"/>
      <c r="C290" s="23"/>
      <c r="D290" s="49"/>
      <c r="E290" s="49"/>
      <c r="F290" s="85"/>
      <c r="G290" s="50"/>
      <c r="H290" s="42"/>
      <c r="I290" s="49"/>
      <c r="J290" s="49"/>
    </row>
    <row r="291" spans="1:10" s="2" customFormat="1" ht="22.5" customHeight="1" x14ac:dyDescent="0.15">
      <c r="A291" s="23"/>
      <c r="B291" s="23"/>
      <c r="C291" s="23"/>
      <c r="D291" s="49"/>
      <c r="E291" s="49"/>
      <c r="F291" s="85"/>
      <c r="G291" s="50"/>
      <c r="H291" s="42"/>
      <c r="I291" s="49"/>
      <c r="J291" s="49"/>
    </row>
    <row r="292" spans="1:10" s="2" customFormat="1" ht="22.5" customHeight="1" x14ac:dyDescent="0.15">
      <c r="A292" s="23"/>
      <c r="B292" s="23"/>
      <c r="C292" s="23"/>
      <c r="D292" s="49"/>
      <c r="E292" s="49"/>
      <c r="F292" s="85"/>
      <c r="G292" s="50"/>
      <c r="H292" s="42"/>
      <c r="I292" s="49"/>
      <c r="J292" s="49"/>
    </row>
    <row r="293" spans="1:10" s="2" customFormat="1" ht="22.5" customHeight="1" x14ac:dyDescent="0.15">
      <c r="A293" s="23"/>
      <c r="B293" s="23"/>
      <c r="C293" s="23"/>
      <c r="D293" s="49"/>
      <c r="E293" s="49"/>
      <c r="F293" s="85"/>
      <c r="G293" s="50"/>
      <c r="H293" s="42"/>
      <c r="I293" s="49"/>
      <c r="J293" s="49"/>
    </row>
    <row r="294" spans="1:10" s="2" customFormat="1" ht="22.5" customHeight="1" x14ac:dyDescent="0.15">
      <c r="A294" s="23"/>
      <c r="B294" s="23"/>
      <c r="C294" s="23"/>
      <c r="D294" s="49"/>
      <c r="E294" s="49"/>
      <c r="F294" s="85"/>
      <c r="G294" s="50"/>
      <c r="H294" s="42"/>
      <c r="I294" s="49"/>
      <c r="J294" s="49"/>
    </row>
    <row r="295" spans="1:10" s="2" customFormat="1" ht="22.5" customHeight="1" x14ac:dyDescent="0.15">
      <c r="A295" s="23"/>
      <c r="B295" s="23"/>
      <c r="C295" s="23"/>
      <c r="D295" s="49"/>
      <c r="E295" s="49"/>
      <c r="F295" s="85"/>
      <c r="G295" s="50"/>
      <c r="H295" s="42"/>
      <c r="I295" s="49"/>
      <c r="J295" s="49"/>
    </row>
    <row r="296" spans="1:10" s="2" customFormat="1" ht="22.5" customHeight="1" x14ac:dyDescent="0.15">
      <c r="A296" s="23"/>
      <c r="B296" s="23"/>
      <c r="C296" s="23"/>
      <c r="D296" s="49"/>
      <c r="E296" s="49"/>
      <c r="F296" s="85"/>
      <c r="G296" s="50"/>
      <c r="H296" s="42"/>
      <c r="I296" s="49"/>
      <c r="J296" s="49"/>
    </row>
    <row r="297" spans="1:10" s="2" customFormat="1" ht="22.5" customHeight="1" x14ac:dyDescent="0.15">
      <c r="A297" s="23"/>
      <c r="B297" s="23"/>
      <c r="C297" s="23"/>
      <c r="D297" s="49"/>
      <c r="E297" s="49"/>
      <c r="F297" s="85"/>
      <c r="G297" s="50"/>
      <c r="H297" s="42"/>
      <c r="I297" s="49"/>
      <c r="J297" s="49"/>
    </row>
    <row r="298" spans="1:10" s="2" customFormat="1" ht="22.5" customHeight="1" x14ac:dyDescent="0.15">
      <c r="A298" s="23"/>
      <c r="B298" s="23"/>
      <c r="C298" s="23"/>
      <c r="D298" s="49"/>
      <c r="E298" s="49"/>
      <c r="F298" s="85"/>
      <c r="G298" s="50"/>
      <c r="H298" s="42"/>
      <c r="I298" s="49"/>
      <c r="J298" s="49"/>
    </row>
    <row r="299" spans="1:10" s="2" customFormat="1" ht="22.5" customHeight="1" x14ac:dyDescent="0.15">
      <c r="A299" s="23"/>
      <c r="B299" s="23"/>
      <c r="C299" s="23"/>
      <c r="D299" s="49"/>
      <c r="E299" s="49"/>
      <c r="F299" s="85"/>
      <c r="G299" s="50"/>
      <c r="H299" s="42"/>
      <c r="I299" s="49"/>
      <c r="J299" s="49"/>
    </row>
    <row r="300" spans="1:10" s="2" customFormat="1" ht="22.5" customHeight="1" x14ac:dyDescent="0.15">
      <c r="A300" s="23"/>
      <c r="B300" s="23"/>
      <c r="C300" s="23"/>
      <c r="D300" s="49"/>
      <c r="E300" s="49"/>
      <c r="F300" s="85"/>
      <c r="G300" s="50"/>
      <c r="H300" s="42"/>
      <c r="I300" s="49"/>
      <c r="J300" s="49"/>
    </row>
    <row r="301" spans="1:10" s="2" customFormat="1" ht="22.5" customHeight="1" x14ac:dyDescent="0.15">
      <c r="A301" s="23"/>
      <c r="B301" s="23"/>
      <c r="C301" s="23"/>
      <c r="D301" s="49"/>
      <c r="E301" s="49"/>
      <c r="F301" s="85"/>
      <c r="G301" s="50"/>
      <c r="H301" s="42"/>
      <c r="I301" s="49"/>
      <c r="J301" s="49"/>
    </row>
    <row r="302" spans="1:10" s="2" customFormat="1" ht="22.5" customHeight="1" x14ac:dyDescent="0.15">
      <c r="A302" s="23"/>
      <c r="B302" s="23"/>
      <c r="C302" s="23"/>
      <c r="D302" s="49"/>
      <c r="E302" s="49"/>
      <c r="F302" s="85"/>
      <c r="G302" s="50"/>
      <c r="H302" s="42"/>
      <c r="I302" s="49"/>
      <c r="J302" s="49"/>
    </row>
    <row r="303" spans="1:10" s="2" customFormat="1" ht="22.5" customHeight="1" x14ac:dyDescent="0.15">
      <c r="A303" s="23"/>
      <c r="B303" s="23"/>
      <c r="C303" s="23"/>
      <c r="D303" s="49"/>
      <c r="E303" s="49"/>
      <c r="F303" s="85"/>
      <c r="G303" s="50"/>
      <c r="H303" s="42"/>
      <c r="I303" s="49"/>
      <c r="J303" s="49"/>
    </row>
    <row r="304" spans="1:10" s="2" customFormat="1" ht="22.5" customHeight="1" x14ac:dyDescent="0.15">
      <c r="A304" s="23"/>
      <c r="B304" s="23"/>
      <c r="C304" s="23"/>
      <c r="D304" s="49"/>
      <c r="E304" s="49"/>
      <c r="F304" s="85"/>
      <c r="G304" s="50"/>
      <c r="H304" s="42"/>
      <c r="I304" s="49"/>
      <c r="J304" s="49"/>
    </row>
    <row r="305" spans="1:10" s="2" customFormat="1" ht="22.5" customHeight="1" x14ac:dyDescent="0.15">
      <c r="A305" s="23"/>
      <c r="B305" s="23"/>
      <c r="C305" s="23"/>
      <c r="D305" s="49"/>
      <c r="E305" s="49"/>
      <c r="F305" s="85"/>
      <c r="G305" s="50"/>
      <c r="H305" s="42"/>
      <c r="I305" s="49"/>
      <c r="J305" s="49"/>
    </row>
    <row r="306" spans="1:10" s="2" customFormat="1" ht="22.5" customHeight="1" x14ac:dyDescent="0.15">
      <c r="A306" s="23"/>
      <c r="B306" s="23"/>
      <c r="C306" s="23"/>
      <c r="D306" s="49"/>
      <c r="E306" s="49"/>
      <c r="F306" s="85"/>
      <c r="G306" s="50"/>
      <c r="H306" s="42"/>
      <c r="I306" s="49"/>
      <c r="J306" s="49"/>
    </row>
    <row r="307" spans="1:10" s="2" customFormat="1" ht="22.5" customHeight="1" x14ac:dyDescent="0.15">
      <c r="A307" s="23"/>
      <c r="B307" s="23"/>
      <c r="C307" s="23"/>
      <c r="D307" s="49"/>
      <c r="E307" s="49"/>
      <c r="F307" s="85"/>
      <c r="G307" s="50"/>
      <c r="H307" s="42"/>
      <c r="I307" s="49"/>
      <c r="J307" s="49"/>
    </row>
    <row r="308" spans="1:10" s="2" customFormat="1" ht="22.5" customHeight="1" x14ac:dyDescent="0.15">
      <c r="A308" s="23"/>
      <c r="B308" s="23"/>
      <c r="C308" s="23"/>
      <c r="D308" s="49"/>
      <c r="E308" s="49"/>
      <c r="F308" s="85"/>
      <c r="G308" s="50"/>
      <c r="H308" s="42"/>
      <c r="I308" s="49"/>
      <c r="J308" s="49"/>
    </row>
    <row r="309" spans="1:10" s="2" customFormat="1" ht="22.5" customHeight="1" x14ac:dyDescent="0.15">
      <c r="A309" s="23"/>
      <c r="B309" s="23"/>
      <c r="C309" s="23"/>
      <c r="D309" s="49"/>
      <c r="E309" s="49"/>
      <c r="F309" s="85"/>
      <c r="G309" s="50"/>
      <c r="H309" s="42"/>
      <c r="I309" s="49"/>
      <c r="J309" s="49"/>
    </row>
    <row r="310" spans="1:10" s="2" customFormat="1" ht="22.5" customHeight="1" x14ac:dyDescent="0.15">
      <c r="A310" s="23"/>
      <c r="B310" s="23"/>
      <c r="C310" s="23"/>
      <c r="D310" s="49"/>
      <c r="E310" s="49"/>
      <c r="F310" s="85"/>
      <c r="G310" s="50"/>
      <c r="H310" s="42"/>
      <c r="I310" s="49"/>
      <c r="J310" s="49"/>
    </row>
    <row r="311" spans="1:10" s="2" customFormat="1" ht="22.5" customHeight="1" x14ac:dyDescent="0.15">
      <c r="A311" s="23"/>
      <c r="B311" s="23"/>
      <c r="C311" s="23"/>
      <c r="D311" s="49"/>
      <c r="E311" s="49"/>
      <c r="F311" s="85"/>
      <c r="G311" s="50"/>
      <c r="H311" s="42"/>
      <c r="I311" s="49"/>
      <c r="J311" s="49"/>
    </row>
    <row r="312" spans="1:10" s="2" customFormat="1" ht="22.5" customHeight="1" x14ac:dyDescent="0.15">
      <c r="A312" s="23"/>
      <c r="B312" s="23"/>
      <c r="C312" s="23"/>
      <c r="D312" s="49"/>
      <c r="E312" s="49"/>
      <c r="F312" s="85"/>
      <c r="G312" s="50"/>
      <c r="H312" s="42"/>
      <c r="I312" s="49"/>
      <c r="J312" s="49"/>
    </row>
    <row r="313" spans="1:10" s="2" customFormat="1" ht="22.5" customHeight="1" x14ac:dyDescent="0.15">
      <c r="A313" s="23"/>
      <c r="B313" s="23"/>
      <c r="C313" s="23"/>
      <c r="D313" s="49"/>
      <c r="E313" s="49"/>
      <c r="F313" s="85"/>
      <c r="G313" s="50"/>
      <c r="H313" s="42"/>
      <c r="I313" s="49"/>
      <c r="J313" s="49"/>
    </row>
    <row r="314" spans="1:10" s="2" customFormat="1" ht="22.5" customHeight="1" x14ac:dyDescent="0.15">
      <c r="A314" s="23"/>
      <c r="B314" s="23"/>
      <c r="C314" s="23"/>
      <c r="D314" s="49"/>
      <c r="E314" s="49"/>
      <c r="F314" s="85"/>
      <c r="G314" s="50"/>
      <c r="H314" s="42"/>
      <c r="I314" s="49"/>
      <c r="J314" s="49"/>
    </row>
    <row r="315" spans="1:10" s="2" customFormat="1" ht="22.5" customHeight="1" x14ac:dyDescent="0.15">
      <c r="A315" s="23"/>
      <c r="B315" s="23"/>
      <c r="C315" s="23"/>
      <c r="D315" s="49"/>
      <c r="E315" s="49"/>
      <c r="F315" s="85"/>
      <c r="G315" s="50"/>
      <c r="H315" s="42"/>
      <c r="I315" s="49"/>
      <c r="J315" s="49"/>
    </row>
    <row r="316" spans="1:10" s="2" customFormat="1" ht="22.5" customHeight="1" x14ac:dyDescent="0.15">
      <c r="A316" s="23"/>
      <c r="B316" s="23"/>
      <c r="C316" s="23"/>
      <c r="D316" s="49"/>
      <c r="E316" s="49"/>
      <c r="F316" s="85"/>
      <c r="G316" s="50"/>
      <c r="H316" s="42"/>
      <c r="I316" s="49"/>
      <c r="J316" s="49"/>
    </row>
    <row r="317" spans="1:10" s="2" customFormat="1" ht="22.5" customHeight="1" x14ac:dyDescent="0.15">
      <c r="A317" s="23"/>
      <c r="B317" s="23"/>
      <c r="C317" s="23"/>
      <c r="D317" s="49"/>
      <c r="E317" s="49"/>
      <c r="F317" s="85"/>
      <c r="G317" s="50"/>
      <c r="H317" s="42"/>
      <c r="I317" s="49"/>
      <c r="J317" s="49"/>
    </row>
    <row r="318" spans="1:10" s="2" customFormat="1" ht="22.5" customHeight="1" x14ac:dyDescent="0.15">
      <c r="A318" s="23"/>
      <c r="B318" s="23"/>
      <c r="C318" s="23"/>
      <c r="D318" s="49"/>
      <c r="E318" s="49"/>
      <c r="F318" s="85"/>
      <c r="G318" s="50"/>
      <c r="H318" s="42"/>
      <c r="I318" s="49"/>
      <c r="J318" s="49"/>
    </row>
    <row r="319" spans="1:10" s="2" customFormat="1" ht="22.5" customHeight="1" x14ac:dyDescent="0.15">
      <c r="A319" s="23"/>
      <c r="B319" s="23"/>
      <c r="C319" s="23"/>
      <c r="D319" s="49"/>
      <c r="E319" s="49"/>
      <c r="F319" s="85"/>
      <c r="G319" s="50"/>
      <c r="H319" s="42"/>
      <c r="I319" s="49"/>
      <c r="J319" s="49"/>
    </row>
    <row r="320" spans="1:10" s="2" customFormat="1" ht="22.5" customHeight="1" x14ac:dyDescent="0.15">
      <c r="A320" s="23"/>
      <c r="B320" s="23"/>
      <c r="C320" s="23"/>
      <c r="D320" s="49"/>
      <c r="E320" s="49"/>
      <c r="F320" s="85"/>
      <c r="G320" s="50"/>
      <c r="H320" s="42"/>
      <c r="I320" s="49"/>
      <c r="J320" s="49"/>
    </row>
    <row r="321" spans="1:10" s="2" customFormat="1" ht="22.5" customHeight="1" x14ac:dyDescent="0.15">
      <c r="A321" s="23"/>
      <c r="B321" s="23"/>
      <c r="C321" s="23"/>
      <c r="D321" s="49"/>
      <c r="E321" s="49"/>
      <c r="F321" s="85"/>
      <c r="G321" s="50"/>
      <c r="H321" s="42"/>
      <c r="I321" s="49"/>
      <c r="J321" s="49"/>
    </row>
    <row r="322" spans="1:10" s="2" customFormat="1" ht="22.5" customHeight="1" x14ac:dyDescent="0.15">
      <c r="A322" s="23"/>
      <c r="B322" s="23"/>
      <c r="C322" s="23"/>
      <c r="D322" s="49"/>
      <c r="E322" s="49"/>
      <c r="F322" s="85"/>
      <c r="G322" s="50"/>
      <c r="H322" s="42"/>
      <c r="I322" s="49"/>
      <c r="J322" s="49"/>
    </row>
    <row r="323" spans="1:10" s="2" customFormat="1" ht="22.5" customHeight="1" x14ac:dyDescent="0.15">
      <c r="A323" s="23"/>
      <c r="B323" s="23"/>
      <c r="C323" s="23"/>
      <c r="D323" s="49"/>
      <c r="E323" s="49"/>
      <c r="F323" s="85"/>
      <c r="G323" s="50"/>
      <c r="H323" s="42"/>
      <c r="I323" s="49"/>
      <c r="J323" s="49"/>
    </row>
    <row r="324" spans="1:10" s="2" customFormat="1" ht="22.5" customHeight="1" x14ac:dyDescent="0.15">
      <c r="A324" s="23"/>
      <c r="B324" s="23"/>
      <c r="C324" s="23"/>
      <c r="D324" s="49"/>
      <c r="E324" s="49"/>
      <c r="F324" s="85"/>
      <c r="G324" s="50"/>
      <c r="H324" s="42"/>
      <c r="I324" s="49"/>
      <c r="J324" s="49"/>
    </row>
    <row r="325" spans="1:10" s="2" customFormat="1" ht="22.5" customHeight="1" x14ac:dyDescent="0.15">
      <c r="A325" s="23"/>
      <c r="B325" s="23"/>
      <c r="C325" s="23"/>
      <c r="D325" s="49"/>
      <c r="E325" s="49"/>
      <c r="F325" s="85"/>
      <c r="G325" s="50"/>
      <c r="H325" s="42"/>
      <c r="I325" s="49"/>
      <c r="J325" s="49"/>
    </row>
    <row r="326" spans="1:10" s="2" customFormat="1" ht="22.5" customHeight="1" x14ac:dyDescent="0.15">
      <c r="A326" s="23"/>
      <c r="B326" s="23"/>
      <c r="C326" s="23"/>
      <c r="D326" s="49"/>
      <c r="E326" s="49"/>
      <c r="F326" s="85"/>
      <c r="G326" s="50"/>
      <c r="H326" s="42"/>
      <c r="I326" s="49"/>
      <c r="J326" s="49"/>
    </row>
    <row r="327" spans="1:10" s="2" customFormat="1" ht="22.5" customHeight="1" x14ac:dyDescent="0.15">
      <c r="A327" s="23"/>
      <c r="B327" s="23"/>
      <c r="C327" s="23"/>
      <c r="D327" s="49"/>
      <c r="E327" s="49"/>
      <c r="F327" s="85"/>
      <c r="G327" s="50"/>
      <c r="H327" s="42"/>
      <c r="I327" s="49"/>
      <c r="J327" s="49"/>
    </row>
    <row r="328" spans="1:10" s="2" customFormat="1" ht="22.5" customHeight="1" x14ac:dyDescent="0.15">
      <c r="A328" s="23"/>
      <c r="B328" s="23"/>
      <c r="C328" s="23"/>
      <c r="D328" s="49"/>
      <c r="E328" s="49"/>
      <c r="F328" s="85"/>
      <c r="G328" s="50"/>
      <c r="H328" s="42"/>
      <c r="I328" s="49"/>
      <c r="J328" s="49"/>
    </row>
    <row r="329" spans="1:10" s="2" customFormat="1" ht="22.5" customHeight="1" x14ac:dyDescent="0.15">
      <c r="A329" s="23"/>
      <c r="B329" s="23"/>
      <c r="C329" s="23"/>
      <c r="D329" s="49"/>
      <c r="E329" s="49"/>
      <c r="F329" s="85"/>
      <c r="G329" s="50"/>
      <c r="H329" s="42"/>
      <c r="I329" s="49"/>
      <c r="J329" s="49"/>
    </row>
    <row r="330" spans="1:10" s="2" customFormat="1" ht="22.5" customHeight="1" x14ac:dyDescent="0.15">
      <c r="A330" s="23"/>
      <c r="B330" s="23"/>
      <c r="C330" s="23"/>
      <c r="D330" s="49"/>
      <c r="E330" s="49"/>
      <c r="F330" s="85"/>
      <c r="G330" s="50"/>
      <c r="H330" s="42"/>
      <c r="I330" s="49"/>
      <c r="J330" s="49"/>
    </row>
    <row r="331" spans="1:10" s="2" customFormat="1" ht="22.5" customHeight="1" x14ac:dyDescent="0.15">
      <c r="A331" s="23"/>
      <c r="B331" s="23"/>
      <c r="C331" s="23"/>
      <c r="D331" s="49"/>
      <c r="E331" s="49"/>
      <c r="F331" s="85"/>
      <c r="G331" s="50"/>
      <c r="H331" s="42"/>
      <c r="I331" s="49"/>
      <c r="J331" s="49"/>
    </row>
    <row r="332" spans="1:10" s="2" customFormat="1" ht="22.5" customHeight="1" x14ac:dyDescent="0.15">
      <c r="A332" s="23"/>
      <c r="B332" s="23"/>
      <c r="C332" s="23"/>
      <c r="D332" s="49"/>
      <c r="E332" s="49"/>
      <c r="F332" s="85"/>
      <c r="G332" s="50"/>
      <c r="H332" s="42"/>
      <c r="I332" s="49"/>
      <c r="J332" s="49"/>
    </row>
    <row r="333" spans="1:10" s="2" customFormat="1" ht="22.5" customHeight="1" x14ac:dyDescent="0.15">
      <c r="A333" s="23"/>
      <c r="B333" s="23"/>
      <c r="C333" s="23"/>
      <c r="D333" s="49"/>
      <c r="E333" s="49"/>
      <c r="F333" s="85"/>
      <c r="G333" s="50"/>
      <c r="H333" s="42"/>
      <c r="I333" s="49"/>
      <c r="J333" s="49"/>
    </row>
    <row r="334" spans="1:10" s="2" customFormat="1" ht="22.5" customHeight="1" x14ac:dyDescent="0.15">
      <c r="A334" s="23"/>
      <c r="B334" s="23"/>
      <c r="C334" s="23"/>
      <c r="D334" s="49"/>
      <c r="E334" s="49"/>
      <c r="F334" s="85"/>
      <c r="G334" s="50"/>
      <c r="H334" s="42"/>
      <c r="I334" s="49"/>
      <c r="J334" s="49"/>
    </row>
    <row r="335" spans="1:10" s="2" customFormat="1" ht="22.5" customHeight="1" x14ac:dyDescent="0.15">
      <c r="A335" s="23"/>
      <c r="B335" s="23"/>
      <c r="C335" s="23"/>
      <c r="D335" s="49"/>
      <c r="E335" s="49"/>
      <c r="F335" s="85"/>
      <c r="G335" s="50"/>
      <c r="H335" s="42"/>
      <c r="I335" s="49"/>
      <c r="J335" s="49"/>
    </row>
    <row r="336" spans="1:10" s="2" customFormat="1" ht="22.5" customHeight="1" x14ac:dyDescent="0.15">
      <c r="A336" s="23"/>
      <c r="B336" s="23"/>
      <c r="C336" s="23"/>
      <c r="D336" s="49"/>
      <c r="E336" s="49"/>
      <c r="F336" s="85"/>
      <c r="G336" s="50"/>
      <c r="H336" s="42"/>
      <c r="I336" s="49"/>
      <c r="J336" s="49"/>
    </row>
    <row r="337" spans="1:10" s="2" customFormat="1" ht="22.5" customHeight="1" x14ac:dyDescent="0.15">
      <c r="A337" s="23"/>
      <c r="B337" s="23"/>
      <c r="C337" s="23"/>
      <c r="D337" s="49"/>
      <c r="E337" s="49"/>
      <c r="F337" s="85"/>
      <c r="G337" s="50"/>
      <c r="H337" s="42"/>
      <c r="I337" s="49"/>
      <c r="J337" s="49"/>
    </row>
    <row r="338" spans="1:10" s="2" customFormat="1" ht="22.5" customHeight="1" x14ac:dyDescent="0.15">
      <c r="A338" s="23"/>
      <c r="B338" s="23"/>
      <c r="C338" s="23"/>
      <c r="D338" s="49"/>
      <c r="E338" s="49"/>
      <c r="F338" s="85"/>
      <c r="G338" s="50"/>
      <c r="H338" s="42"/>
      <c r="I338" s="49"/>
      <c r="J338" s="49"/>
    </row>
    <row r="339" spans="1:10" s="2" customFormat="1" ht="22.5" customHeight="1" x14ac:dyDescent="0.15">
      <c r="A339" s="23"/>
      <c r="B339" s="23"/>
      <c r="C339" s="23"/>
      <c r="D339" s="49"/>
      <c r="E339" s="49"/>
      <c r="F339" s="85"/>
      <c r="G339" s="50"/>
      <c r="H339" s="42"/>
      <c r="I339" s="49"/>
      <c r="J339" s="49"/>
    </row>
    <row r="340" spans="1:10" s="2" customFormat="1" ht="22.5" customHeight="1" x14ac:dyDescent="0.15">
      <c r="A340" s="23"/>
      <c r="B340" s="23"/>
      <c r="C340" s="23"/>
      <c r="D340" s="49"/>
      <c r="E340" s="49"/>
      <c r="F340" s="85"/>
      <c r="G340" s="50"/>
      <c r="H340" s="42"/>
      <c r="I340" s="49"/>
      <c r="J340" s="49"/>
    </row>
    <row r="341" spans="1:10" s="2" customFormat="1" ht="22.5" customHeight="1" x14ac:dyDescent="0.15">
      <c r="A341" s="23"/>
      <c r="B341" s="23"/>
      <c r="C341" s="23"/>
      <c r="D341" s="49"/>
      <c r="E341" s="49"/>
      <c r="F341" s="85"/>
      <c r="G341" s="50"/>
      <c r="H341" s="42"/>
      <c r="I341" s="49"/>
      <c r="J341" s="49"/>
    </row>
    <row r="342" spans="1:10" s="2" customFormat="1" ht="22.5" customHeight="1" x14ac:dyDescent="0.15">
      <c r="A342" s="23"/>
      <c r="B342" s="23"/>
      <c r="C342" s="23"/>
      <c r="D342" s="49"/>
      <c r="E342" s="49"/>
      <c r="F342" s="85"/>
      <c r="G342" s="50"/>
      <c r="H342" s="42"/>
      <c r="I342" s="49"/>
      <c r="J342" s="49"/>
    </row>
    <row r="343" spans="1:10" s="2" customFormat="1" ht="22.5" customHeight="1" x14ac:dyDescent="0.15">
      <c r="A343" s="23"/>
      <c r="B343" s="23"/>
      <c r="C343" s="23"/>
      <c r="D343" s="49"/>
      <c r="E343" s="49"/>
      <c r="F343" s="85"/>
      <c r="G343" s="50"/>
      <c r="H343" s="42"/>
      <c r="I343" s="49"/>
      <c r="J343" s="49"/>
    </row>
    <row r="344" spans="1:10" s="2" customFormat="1" ht="22.5" customHeight="1" x14ac:dyDescent="0.15">
      <c r="A344" s="23"/>
      <c r="B344" s="23"/>
      <c r="C344" s="23"/>
      <c r="D344" s="49"/>
      <c r="E344" s="49"/>
      <c r="F344" s="85"/>
      <c r="G344" s="50"/>
      <c r="H344" s="42"/>
      <c r="I344" s="49"/>
      <c r="J344" s="49"/>
    </row>
    <row r="345" spans="1:10" s="2" customFormat="1" ht="22.5" customHeight="1" x14ac:dyDescent="0.15">
      <c r="A345" s="23"/>
      <c r="B345" s="23"/>
      <c r="C345" s="23"/>
      <c r="D345" s="49"/>
      <c r="E345" s="49"/>
      <c r="F345" s="85"/>
      <c r="G345" s="50"/>
      <c r="H345" s="42"/>
      <c r="I345" s="49"/>
      <c r="J345" s="49"/>
    </row>
    <row r="346" spans="1:10" s="2" customFormat="1" ht="22.5" customHeight="1" x14ac:dyDescent="0.15">
      <c r="A346" s="23"/>
      <c r="B346" s="23"/>
      <c r="C346" s="23"/>
      <c r="D346" s="49"/>
      <c r="E346" s="49"/>
      <c r="F346" s="85"/>
      <c r="G346" s="50"/>
      <c r="H346" s="42"/>
      <c r="I346" s="49"/>
      <c r="J346" s="49"/>
    </row>
    <row r="347" spans="1:10" s="2" customFormat="1" ht="22.5" customHeight="1" x14ac:dyDescent="0.15">
      <c r="A347" s="23"/>
      <c r="B347" s="23"/>
      <c r="C347" s="23"/>
      <c r="D347" s="49"/>
      <c r="E347" s="49"/>
      <c r="F347" s="85"/>
      <c r="G347" s="50"/>
      <c r="H347" s="42"/>
      <c r="I347" s="49"/>
      <c r="J347" s="49"/>
    </row>
    <row r="348" spans="1:10" s="2" customFormat="1" ht="22.5" customHeight="1" x14ac:dyDescent="0.15">
      <c r="A348" s="23"/>
      <c r="B348" s="23"/>
      <c r="C348" s="23"/>
      <c r="D348" s="49"/>
      <c r="E348" s="49"/>
      <c r="F348" s="85"/>
      <c r="G348" s="50"/>
      <c r="H348" s="42"/>
      <c r="I348" s="49"/>
      <c r="J348" s="49"/>
    </row>
    <row r="349" spans="1:10" s="2" customFormat="1" ht="22.5" customHeight="1" x14ac:dyDescent="0.15">
      <c r="A349" s="23"/>
      <c r="B349" s="23"/>
      <c r="C349" s="23"/>
      <c r="D349" s="49"/>
      <c r="E349" s="49"/>
      <c r="F349" s="85"/>
      <c r="G349" s="50"/>
      <c r="H349" s="42"/>
      <c r="I349" s="49"/>
      <c r="J349" s="49"/>
    </row>
    <row r="350" spans="1:10" s="2" customFormat="1" ht="22.5" customHeight="1" x14ac:dyDescent="0.15">
      <c r="A350" s="23"/>
      <c r="B350" s="23"/>
      <c r="C350" s="23"/>
      <c r="D350" s="49"/>
      <c r="E350" s="49"/>
      <c r="F350" s="85"/>
      <c r="G350" s="50"/>
      <c r="H350" s="42"/>
      <c r="I350" s="49"/>
      <c r="J350" s="49"/>
    </row>
    <row r="351" spans="1:10" s="2" customFormat="1" ht="22.5" customHeight="1" x14ac:dyDescent="0.15">
      <c r="A351" s="23"/>
      <c r="B351" s="23"/>
      <c r="C351" s="23"/>
      <c r="D351" s="49"/>
      <c r="E351" s="49"/>
      <c r="F351" s="85"/>
      <c r="G351" s="50"/>
      <c r="H351" s="42"/>
      <c r="I351" s="49"/>
      <c r="J351" s="49"/>
    </row>
    <row r="352" spans="1:10" s="2" customFormat="1" ht="22.5" customHeight="1" x14ac:dyDescent="0.15">
      <c r="A352" s="23"/>
      <c r="B352" s="23"/>
      <c r="C352" s="23"/>
      <c r="D352" s="49"/>
      <c r="E352" s="49"/>
      <c r="F352" s="85"/>
      <c r="G352" s="50"/>
      <c r="H352" s="42"/>
      <c r="I352" s="49"/>
      <c r="J352" s="49"/>
    </row>
    <row r="353" spans="1:10" s="2" customFormat="1" ht="22.5" customHeight="1" x14ac:dyDescent="0.15">
      <c r="A353" s="23"/>
      <c r="B353" s="23"/>
      <c r="C353" s="23"/>
      <c r="D353" s="49"/>
      <c r="E353" s="49"/>
      <c r="F353" s="85"/>
      <c r="G353" s="50"/>
      <c r="H353" s="42"/>
      <c r="I353" s="49"/>
      <c r="J353" s="49"/>
    </row>
    <row r="354" spans="1:10" s="2" customFormat="1" ht="22.5" customHeight="1" x14ac:dyDescent="0.15">
      <c r="A354" s="23"/>
      <c r="B354" s="23"/>
      <c r="C354" s="23"/>
      <c r="D354" s="49"/>
      <c r="E354" s="49"/>
      <c r="F354" s="85"/>
      <c r="G354" s="50"/>
      <c r="H354" s="42"/>
      <c r="I354" s="49"/>
      <c r="J354" s="49"/>
    </row>
    <row r="355" spans="1:10" s="2" customFormat="1" ht="22.5" customHeight="1" x14ac:dyDescent="0.15">
      <c r="A355" s="23"/>
      <c r="B355" s="23"/>
      <c r="C355" s="23"/>
      <c r="D355" s="49"/>
      <c r="E355" s="49"/>
      <c r="F355" s="85"/>
      <c r="G355" s="50"/>
      <c r="H355" s="42"/>
      <c r="I355" s="49"/>
      <c r="J355" s="49"/>
    </row>
    <row r="356" spans="1:10" s="2" customFormat="1" ht="22.5" customHeight="1" x14ac:dyDescent="0.15">
      <c r="A356" s="23"/>
      <c r="B356" s="23"/>
      <c r="C356" s="23"/>
      <c r="D356" s="49"/>
      <c r="E356" s="49"/>
      <c r="F356" s="85"/>
      <c r="G356" s="50"/>
      <c r="H356" s="42"/>
      <c r="I356" s="49"/>
      <c r="J356" s="49"/>
    </row>
    <row r="357" spans="1:10" s="2" customFormat="1" ht="22.5" customHeight="1" x14ac:dyDescent="0.15">
      <c r="A357" s="23"/>
      <c r="B357" s="23"/>
      <c r="C357" s="23"/>
      <c r="D357" s="49"/>
      <c r="E357" s="49"/>
      <c r="F357" s="85"/>
      <c r="G357" s="50"/>
      <c r="H357" s="42"/>
      <c r="I357" s="49"/>
      <c r="J357" s="49"/>
    </row>
    <row r="358" spans="1:10" s="2" customFormat="1" ht="22.5" customHeight="1" x14ac:dyDescent="0.15">
      <c r="A358" s="23"/>
      <c r="B358" s="23"/>
      <c r="C358" s="23"/>
      <c r="D358" s="49"/>
      <c r="E358" s="49"/>
      <c r="F358" s="85"/>
      <c r="G358" s="50"/>
      <c r="H358" s="42"/>
      <c r="I358" s="49"/>
      <c r="J358" s="49"/>
    </row>
    <row r="359" spans="1:10" s="2" customFormat="1" ht="22.5" customHeight="1" x14ac:dyDescent="0.15">
      <c r="A359" s="23"/>
      <c r="B359" s="23"/>
      <c r="C359" s="23"/>
      <c r="D359" s="49"/>
      <c r="E359" s="49"/>
      <c r="F359" s="85"/>
      <c r="G359" s="50"/>
      <c r="H359" s="42"/>
      <c r="I359" s="49"/>
      <c r="J359" s="49"/>
    </row>
    <row r="360" spans="1:10" s="2" customFormat="1" ht="22.5" customHeight="1" x14ac:dyDescent="0.15">
      <c r="A360" s="23"/>
      <c r="B360" s="23"/>
      <c r="C360" s="23"/>
      <c r="D360" s="49"/>
      <c r="E360" s="49"/>
      <c r="F360" s="85"/>
      <c r="G360" s="50"/>
      <c r="H360" s="42"/>
      <c r="I360" s="49"/>
      <c r="J360" s="49"/>
    </row>
    <row r="361" spans="1:10" s="2" customFormat="1" ht="22.5" customHeight="1" x14ac:dyDescent="0.15">
      <c r="A361" s="23"/>
      <c r="B361" s="23"/>
      <c r="C361" s="23"/>
      <c r="D361" s="49"/>
      <c r="E361" s="49"/>
      <c r="F361" s="85"/>
      <c r="G361" s="50"/>
      <c r="H361" s="42"/>
      <c r="I361" s="49"/>
      <c r="J361" s="49"/>
    </row>
    <row r="362" spans="1:10" s="2" customFormat="1" ht="22.5" customHeight="1" x14ac:dyDescent="0.15">
      <c r="A362" s="23"/>
      <c r="B362" s="23"/>
      <c r="C362" s="23"/>
      <c r="D362" s="49"/>
      <c r="E362" s="49"/>
      <c r="F362" s="85"/>
      <c r="G362" s="50"/>
      <c r="H362" s="42"/>
      <c r="I362" s="49"/>
      <c r="J362" s="49"/>
    </row>
    <row r="363" spans="1:10" s="2" customFormat="1" ht="22.5" customHeight="1" x14ac:dyDescent="0.15">
      <c r="A363" s="23"/>
      <c r="B363" s="23"/>
      <c r="C363" s="23"/>
      <c r="D363" s="49"/>
      <c r="E363" s="49"/>
      <c r="F363" s="85"/>
      <c r="G363" s="50"/>
      <c r="H363" s="42"/>
      <c r="I363" s="49"/>
      <c r="J363" s="49"/>
    </row>
    <row r="364" spans="1:10" s="2" customFormat="1" ht="22.5" customHeight="1" x14ac:dyDescent="0.15">
      <c r="A364" s="23"/>
      <c r="B364" s="23"/>
      <c r="C364" s="23"/>
      <c r="D364" s="49"/>
      <c r="E364" s="49"/>
      <c r="F364" s="85"/>
      <c r="G364" s="50"/>
      <c r="H364" s="42"/>
      <c r="I364" s="49"/>
      <c r="J364" s="49"/>
    </row>
    <row r="365" spans="1:10" s="2" customFormat="1" ht="22.5" customHeight="1" x14ac:dyDescent="0.15">
      <c r="A365" s="23"/>
      <c r="B365" s="23"/>
      <c r="C365" s="23"/>
      <c r="D365" s="49"/>
      <c r="E365" s="49"/>
      <c r="F365" s="85"/>
      <c r="G365" s="50"/>
      <c r="H365" s="42"/>
      <c r="I365" s="49"/>
      <c r="J365" s="49"/>
    </row>
    <row r="366" spans="1:10" s="2" customFormat="1" ht="22.5" customHeight="1" x14ac:dyDescent="0.15">
      <c r="A366" s="23"/>
      <c r="B366" s="23"/>
      <c r="C366" s="23"/>
      <c r="D366" s="49"/>
      <c r="E366" s="49"/>
      <c r="F366" s="85"/>
      <c r="G366" s="50"/>
      <c r="H366" s="42"/>
      <c r="I366" s="49"/>
      <c r="J366" s="49"/>
    </row>
    <row r="367" spans="1:10" s="2" customFormat="1" ht="22.5" customHeight="1" x14ac:dyDescent="0.15">
      <c r="A367" s="23"/>
      <c r="B367" s="23"/>
      <c r="C367" s="23"/>
      <c r="D367" s="49"/>
      <c r="E367" s="49"/>
      <c r="F367" s="85"/>
      <c r="G367" s="50"/>
      <c r="H367" s="42"/>
      <c r="I367" s="49"/>
      <c r="J367" s="49"/>
    </row>
    <row r="368" spans="1:10" s="2" customFormat="1" ht="22.5" customHeight="1" x14ac:dyDescent="0.15">
      <c r="A368" s="23"/>
      <c r="B368" s="23"/>
      <c r="C368" s="23"/>
      <c r="D368" s="49"/>
      <c r="E368" s="49"/>
      <c r="F368" s="85"/>
      <c r="G368" s="50"/>
      <c r="H368" s="42"/>
      <c r="I368" s="49"/>
      <c r="J368" s="49"/>
    </row>
    <row r="369" spans="1:10" s="2" customFormat="1" ht="22.5" customHeight="1" x14ac:dyDescent="0.15">
      <c r="A369" s="23"/>
      <c r="B369" s="23"/>
      <c r="C369" s="23"/>
      <c r="D369" s="49"/>
      <c r="E369" s="49"/>
      <c r="F369" s="85"/>
      <c r="G369" s="50"/>
      <c r="H369" s="42"/>
      <c r="I369" s="49"/>
      <c r="J369" s="49"/>
    </row>
    <row r="370" spans="1:10" s="2" customFormat="1" ht="22.5" customHeight="1" x14ac:dyDescent="0.15">
      <c r="A370" s="23"/>
      <c r="B370" s="23"/>
      <c r="C370" s="23"/>
      <c r="D370" s="49"/>
      <c r="E370" s="49"/>
      <c r="F370" s="85"/>
      <c r="G370" s="50"/>
      <c r="H370" s="42"/>
      <c r="I370" s="49"/>
      <c r="J370" s="49"/>
    </row>
    <row r="371" spans="1:10" s="2" customFormat="1" ht="22.5" customHeight="1" x14ac:dyDescent="0.15">
      <c r="A371" s="23"/>
      <c r="B371" s="23"/>
      <c r="C371" s="23"/>
      <c r="D371" s="49"/>
      <c r="E371" s="49"/>
      <c r="F371" s="85"/>
      <c r="G371" s="50"/>
      <c r="H371" s="42"/>
      <c r="I371" s="49"/>
      <c r="J371" s="49"/>
    </row>
    <row r="372" spans="1:10" s="2" customFormat="1" ht="22.5" customHeight="1" x14ac:dyDescent="0.15">
      <c r="A372" s="23"/>
      <c r="B372" s="23"/>
      <c r="C372" s="23"/>
      <c r="D372" s="49"/>
      <c r="E372" s="49"/>
      <c r="F372" s="85"/>
      <c r="G372" s="50"/>
      <c r="H372" s="42"/>
      <c r="I372" s="49"/>
      <c r="J372" s="49"/>
    </row>
    <row r="373" spans="1:10" s="2" customFormat="1" ht="22.5" customHeight="1" x14ac:dyDescent="0.15">
      <c r="A373" s="23"/>
      <c r="B373" s="23"/>
      <c r="C373" s="23"/>
      <c r="D373" s="49"/>
      <c r="E373" s="49"/>
      <c r="F373" s="85"/>
      <c r="G373" s="50"/>
      <c r="H373" s="42"/>
      <c r="I373" s="49"/>
      <c r="J373" s="49"/>
    </row>
    <row r="374" spans="1:10" s="2" customFormat="1" ht="22.5" customHeight="1" x14ac:dyDescent="0.15">
      <c r="A374" s="23"/>
      <c r="B374" s="23"/>
      <c r="C374" s="23"/>
      <c r="D374" s="49"/>
      <c r="E374" s="49"/>
      <c r="F374" s="85"/>
      <c r="G374" s="50"/>
      <c r="H374" s="42"/>
      <c r="I374" s="49"/>
      <c r="J374" s="49"/>
    </row>
    <row r="375" spans="1:10" s="2" customFormat="1" ht="22.5" customHeight="1" x14ac:dyDescent="0.15">
      <c r="A375" s="23"/>
      <c r="B375" s="23"/>
      <c r="C375" s="23"/>
      <c r="D375" s="49"/>
      <c r="E375" s="49"/>
      <c r="F375" s="85"/>
      <c r="G375" s="50"/>
      <c r="H375" s="42"/>
      <c r="I375" s="49"/>
      <c r="J375" s="49"/>
    </row>
    <row r="376" spans="1:10" s="2" customFormat="1" ht="22.5" customHeight="1" x14ac:dyDescent="0.15">
      <c r="A376" s="23"/>
      <c r="B376" s="23"/>
      <c r="C376" s="23"/>
      <c r="D376" s="49"/>
      <c r="E376" s="49"/>
      <c r="F376" s="85"/>
      <c r="G376" s="50"/>
      <c r="H376" s="42"/>
      <c r="I376" s="49"/>
      <c r="J376" s="49"/>
    </row>
    <row r="377" spans="1:10" s="2" customFormat="1" ht="22.5" customHeight="1" x14ac:dyDescent="0.15">
      <c r="A377" s="23"/>
      <c r="B377" s="23"/>
      <c r="C377" s="23"/>
      <c r="D377" s="49"/>
      <c r="E377" s="49"/>
      <c r="F377" s="85"/>
      <c r="G377" s="50"/>
      <c r="H377" s="42"/>
      <c r="I377" s="49"/>
      <c r="J377" s="49"/>
    </row>
    <row r="378" spans="1:10" s="2" customFormat="1" ht="22.5" customHeight="1" x14ac:dyDescent="0.15">
      <c r="A378" s="23"/>
      <c r="B378" s="23"/>
      <c r="C378" s="23"/>
      <c r="D378" s="49"/>
      <c r="E378" s="49"/>
      <c r="F378" s="85"/>
      <c r="G378" s="50"/>
      <c r="H378" s="42"/>
      <c r="I378" s="49"/>
      <c r="J378" s="49"/>
    </row>
    <row r="379" spans="1:10" s="2" customFormat="1" ht="22.5" customHeight="1" x14ac:dyDescent="0.15">
      <c r="A379" s="23"/>
      <c r="B379" s="23"/>
      <c r="C379" s="23"/>
      <c r="D379" s="49"/>
      <c r="E379" s="49"/>
      <c r="F379" s="85"/>
      <c r="G379" s="50"/>
      <c r="H379" s="42"/>
      <c r="I379" s="49"/>
      <c r="J379" s="49"/>
    </row>
    <row r="380" spans="1:10" s="2" customFormat="1" ht="22.5" customHeight="1" x14ac:dyDescent="0.15">
      <c r="A380" s="23"/>
      <c r="B380" s="23"/>
      <c r="C380" s="23"/>
      <c r="D380" s="49"/>
      <c r="E380" s="49"/>
      <c r="F380" s="85"/>
      <c r="G380" s="50"/>
      <c r="H380" s="42"/>
      <c r="I380" s="49"/>
      <c r="J380" s="49"/>
    </row>
    <row r="381" spans="1:10" s="2" customFormat="1" ht="22.5" customHeight="1" x14ac:dyDescent="0.15">
      <c r="A381" s="23"/>
      <c r="B381" s="23"/>
      <c r="C381" s="23"/>
      <c r="D381" s="49"/>
      <c r="E381" s="49"/>
      <c r="F381" s="85"/>
      <c r="G381" s="50"/>
      <c r="H381" s="42"/>
      <c r="I381" s="49"/>
      <c r="J381" s="49"/>
    </row>
    <row r="382" spans="1:10" s="2" customFormat="1" ht="22.5" customHeight="1" x14ac:dyDescent="0.15">
      <c r="A382" s="23"/>
      <c r="B382" s="23"/>
      <c r="C382" s="23"/>
      <c r="D382" s="49"/>
      <c r="E382" s="49"/>
      <c r="F382" s="85"/>
      <c r="G382" s="50"/>
      <c r="H382" s="42"/>
      <c r="I382" s="49"/>
      <c r="J382" s="49"/>
    </row>
    <row r="383" spans="1:10" s="2" customFormat="1" ht="22.5" customHeight="1" x14ac:dyDescent="0.15">
      <c r="A383" s="23"/>
      <c r="B383" s="23"/>
      <c r="C383" s="23"/>
      <c r="D383" s="49"/>
      <c r="E383" s="49"/>
      <c r="F383" s="85"/>
      <c r="G383" s="50"/>
      <c r="H383" s="42"/>
      <c r="I383" s="49"/>
      <c r="J383" s="49"/>
    </row>
    <row r="384" spans="1:10" s="2" customFormat="1" ht="22.5" customHeight="1" x14ac:dyDescent="0.15">
      <c r="A384" s="23"/>
      <c r="B384" s="23"/>
      <c r="C384" s="23"/>
      <c r="D384" s="49"/>
      <c r="E384" s="49"/>
      <c r="F384" s="85"/>
      <c r="G384" s="50"/>
      <c r="H384" s="42"/>
      <c r="I384" s="49"/>
      <c r="J384" s="49"/>
    </row>
    <row r="385" spans="1:10" s="2" customFormat="1" ht="22.5" customHeight="1" x14ac:dyDescent="0.15">
      <c r="A385" s="23"/>
      <c r="B385" s="23"/>
      <c r="C385" s="23"/>
      <c r="D385" s="49"/>
      <c r="E385" s="49"/>
      <c r="F385" s="85"/>
      <c r="G385" s="50"/>
      <c r="H385" s="42"/>
      <c r="I385" s="49"/>
      <c r="J385" s="49"/>
    </row>
    <row r="386" spans="1:10" s="2" customFormat="1" ht="22.5" customHeight="1" x14ac:dyDescent="0.15">
      <c r="A386" s="23"/>
      <c r="B386" s="23"/>
      <c r="C386" s="23"/>
      <c r="D386" s="49"/>
      <c r="E386" s="49"/>
      <c r="F386" s="85"/>
      <c r="G386" s="50"/>
      <c r="H386" s="42"/>
      <c r="I386" s="49"/>
      <c r="J386" s="49"/>
    </row>
    <row r="387" spans="1:10" s="2" customFormat="1" ht="22.5" customHeight="1" x14ac:dyDescent="0.15">
      <c r="A387" s="23"/>
      <c r="B387" s="23"/>
      <c r="C387" s="23"/>
      <c r="D387" s="49"/>
      <c r="E387" s="49"/>
      <c r="F387" s="85"/>
      <c r="G387" s="50"/>
      <c r="H387" s="42"/>
      <c r="I387" s="49"/>
      <c r="J387" s="49"/>
    </row>
    <row r="388" spans="1:10" s="2" customFormat="1" ht="22.5" customHeight="1" x14ac:dyDescent="0.15">
      <c r="A388" s="23"/>
      <c r="B388" s="23"/>
      <c r="C388" s="23"/>
      <c r="D388" s="49"/>
      <c r="E388" s="49"/>
      <c r="F388" s="85"/>
      <c r="G388" s="50"/>
      <c r="H388" s="42"/>
      <c r="I388" s="49"/>
      <c r="J388" s="49"/>
    </row>
    <row r="389" spans="1:10" s="2" customFormat="1" ht="22.5" customHeight="1" x14ac:dyDescent="0.15">
      <c r="A389" s="23"/>
      <c r="B389" s="23"/>
      <c r="C389" s="23"/>
      <c r="D389" s="49"/>
      <c r="E389" s="49"/>
      <c r="F389" s="85"/>
      <c r="G389" s="50"/>
      <c r="H389" s="42"/>
      <c r="I389" s="49"/>
      <c r="J389" s="49"/>
    </row>
    <row r="390" spans="1:10" s="2" customFormat="1" ht="22.5" customHeight="1" x14ac:dyDescent="0.15">
      <c r="A390" s="23"/>
      <c r="B390" s="23"/>
      <c r="C390" s="23"/>
      <c r="D390" s="49"/>
      <c r="E390" s="49"/>
      <c r="F390" s="85"/>
      <c r="G390" s="50"/>
      <c r="H390" s="42"/>
      <c r="I390" s="49"/>
      <c r="J390" s="49"/>
    </row>
    <row r="391" spans="1:10" s="2" customFormat="1" ht="22.5" customHeight="1" x14ac:dyDescent="0.15">
      <c r="A391" s="23"/>
      <c r="B391" s="23"/>
      <c r="C391" s="23"/>
      <c r="D391" s="49"/>
      <c r="E391" s="49"/>
      <c r="F391" s="85"/>
      <c r="G391" s="50"/>
      <c r="H391" s="42"/>
      <c r="I391" s="49"/>
      <c r="J391" s="49"/>
    </row>
    <row r="392" spans="1:10" s="2" customFormat="1" ht="22.5" customHeight="1" x14ac:dyDescent="0.15">
      <c r="A392" s="23"/>
      <c r="B392" s="23"/>
      <c r="C392" s="23"/>
      <c r="D392" s="49"/>
      <c r="E392" s="49"/>
      <c r="F392" s="85"/>
      <c r="G392" s="50"/>
      <c r="H392" s="42"/>
      <c r="I392" s="49"/>
      <c r="J392" s="49"/>
    </row>
    <row r="393" spans="1:10" s="2" customFormat="1" ht="22.5" customHeight="1" x14ac:dyDescent="0.15">
      <c r="A393" s="23"/>
      <c r="B393" s="23"/>
      <c r="C393" s="23"/>
      <c r="D393" s="49"/>
      <c r="E393" s="49"/>
      <c r="F393" s="85"/>
      <c r="G393" s="50"/>
      <c r="H393" s="42"/>
      <c r="I393" s="49"/>
      <c r="J393" s="49"/>
    </row>
    <row r="394" spans="1:10" s="2" customFormat="1" ht="22.5" customHeight="1" x14ac:dyDescent="0.15">
      <c r="A394" s="23"/>
      <c r="B394" s="23"/>
      <c r="C394" s="23"/>
      <c r="D394" s="49"/>
      <c r="E394" s="49"/>
      <c r="F394" s="85"/>
      <c r="G394" s="50"/>
      <c r="H394" s="42"/>
      <c r="I394" s="49"/>
      <c r="J394" s="49"/>
    </row>
    <row r="395" spans="1:10" s="2" customFormat="1" ht="22.5" customHeight="1" x14ac:dyDescent="0.15">
      <c r="A395" s="23"/>
      <c r="B395" s="23"/>
      <c r="C395" s="23"/>
      <c r="D395" s="49"/>
      <c r="E395" s="49"/>
      <c r="F395" s="85"/>
      <c r="G395" s="50"/>
      <c r="H395" s="42"/>
      <c r="I395" s="49"/>
      <c r="J395" s="49"/>
    </row>
    <row r="396" spans="1:10" s="2" customFormat="1" ht="22.5" customHeight="1" x14ac:dyDescent="0.15">
      <c r="A396" s="23"/>
      <c r="B396" s="23"/>
      <c r="C396" s="23"/>
      <c r="D396" s="49"/>
      <c r="E396" s="49"/>
      <c r="F396" s="85"/>
      <c r="G396" s="50"/>
      <c r="H396" s="42"/>
      <c r="I396" s="49"/>
      <c r="J396" s="49"/>
    </row>
    <row r="397" spans="1:10" s="2" customFormat="1" ht="22.5" customHeight="1" x14ac:dyDescent="0.15">
      <c r="A397" s="23"/>
      <c r="B397" s="23"/>
      <c r="C397" s="23"/>
      <c r="D397" s="49"/>
      <c r="E397" s="49"/>
      <c r="F397" s="85"/>
      <c r="G397" s="50"/>
      <c r="H397" s="42"/>
      <c r="I397" s="49"/>
      <c r="J397" s="49"/>
    </row>
    <row r="398" spans="1:10" s="2" customFormat="1" ht="22.5" customHeight="1" x14ac:dyDescent="0.15">
      <c r="A398" s="23"/>
      <c r="B398" s="23"/>
      <c r="C398" s="23"/>
      <c r="D398" s="49"/>
      <c r="E398" s="49"/>
      <c r="F398" s="85"/>
      <c r="G398" s="50"/>
      <c r="H398" s="42"/>
      <c r="I398" s="49"/>
      <c r="J398" s="49"/>
    </row>
    <row r="399" spans="1:10" s="2" customFormat="1" ht="22.5" customHeight="1" x14ac:dyDescent="0.15">
      <c r="A399" s="23"/>
      <c r="B399" s="23"/>
      <c r="C399" s="23"/>
      <c r="D399" s="49"/>
      <c r="E399" s="49"/>
      <c r="F399" s="85"/>
      <c r="G399" s="50"/>
      <c r="H399" s="42"/>
      <c r="I399" s="49"/>
      <c r="J399" s="49"/>
    </row>
    <row r="400" spans="1:10" s="2" customFormat="1" ht="22.5" customHeight="1" x14ac:dyDescent="0.15">
      <c r="A400" s="23"/>
      <c r="B400" s="23"/>
      <c r="C400" s="23"/>
      <c r="D400" s="49"/>
      <c r="E400" s="49"/>
      <c r="F400" s="85"/>
      <c r="G400" s="50"/>
      <c r="H400" s="42"/>
      <c r="I400" s="49"/>
      <c r="J400" s="49"/>
    </row>
    <row r="401" spans="1:10" s="2" customFormat="1" ht="22.5" customHeight="1" x14ac:dyDescent="0.15">
      <c r="A401" s="23"/>
      <c r="B401" s="23"/>
      <c r="C401" s="23"/>
      <c r="D401" s="49"/>
      <c r="E401" s="49"/>
      <c r="F401" s="85"/>
      <c r="G401" s="50"/>
      <c r="H401" s="42"/>
      <c r="I401" s="49"/>
      <c r="J401" s="49"/>
    </row>
    <row r="402" spans="1:10" s="2" customFormat="1" ht="22.5" customHeight="1" x14ac:dyDescent="0.15">
      <c r="A402" s="23"/>
      <c r="B402" s="23"/>
      <c r="C402" s="23"/>
      <c r="D402" s="49"/>
      <c r="E402" s="49"/>
      <c r="F402" s="85"/>
      <c r="G402" s="50"/>
      <c r="H402" s="42"/>
      <c r="I402" s="49"/>
      <c r="J402" s="49"/>
    </row>
    <row r="403" spans="1:10" s="2" customFormat="1" ht="22.5" customHeight="1" x14ac:dyDescent="0.15">
      <c r="A403" s="23"/>
      <c r="B403" s="23"/>
      <c r="C403" s="23"/>
      <c r="D403" s="49"/>
      <c r="E403" s="49"/>
      <c r="F403" s="85"/>
      <c r="G403" s="50"/>
      <c r="H403" s="42"/>
      <c r="I403" s="49"/>
      <c r="J403" s="49"/>
    </row>
    <row r="404" spans="1:10" s="2" customFormat="1" ht="22.5" customHeight="1" x14ac:dyDescent="0.15">
      <c r="A404" s="23"/>
      <c r="B404" s="23"/>
      <c r="C404" s="23"/>
      <c r="D404" s="49"/>
      <c r="E404" s="49"/>
      <c r="F404" s="85"/>
      <c r="G404" s="50"/>
      <c r="H404" s="42"/>
      <c r="I404" s="49"/>
      <c r="J404" s="49"/>
    </row>
    <row r="405" spans="1:10" s="2" customFormat="1" ht="22.5" customHeight="1" x14ac:dyDescent="0.15">
      <c r="A405" s="23"/>
      <c r="B405" s="23"/>
      <c r="C405" s="23"/>
      <c r="D405" s="49"/>
      <c r="E405" s="49"/>
      <c r="F405" s="85"/>
      <c r="G405" s="50"/>
      <c r="H405" s="42"/>
      <c r="I405" s="49"/>
      <c r="J405" s="49"/>
    </row>
    <row r="406" spans="1:10" s="2" customFormat="1" ht="22.5" customHeight="1" x14ac:dyDescent="0.15">
      <c r="A406" s="23"/>
      <c r="B406" s="23"/>
      <c r="C406" s="23"/>
      <c r="D406" s="49"/>
      <c r="E406" s="49"/>
      <c r="F406" s="85"/>
      <c r="G406" s="50"/>
      <c r="H406" s="42"/>
      <c r="I406" s="49"/>
      <c r="J406" s="49"/>
    </row>
    <row r="407" spans="1:10" s="2" customFormat="1" ht="22.5" customHeight="1" x14ac:dyDescent="0.15">
      <c r="A407" s="23"/>
      <c r="B407" s="23"/>
      <c r="C407" s="23"/>
      <c r="D407" s="49"/>
      <c r="E407" s="49"/>
      <c r="F407" s="85"/>
      <c r="G407" s="50"/>
      <c r="H407" s="42"/>
      <c r="I407" s="49"/>
      <c r="J407" s="49"/>
    </row>
    <row r="408" spans="1:10" s="2" customFormat="1" ht="22.5" customHeight="1" x14ac:dyDescent="0.15">
      <c r="A408" s="23"/>
      <c r="B408" s="23"/>
      <c r="C408" s="23"/>
      <c r="D408" s="49"/>
      <c r="E408" s="49"/>
      <c r="F408" s="85"/>
      <c r="G408" s="50"/>
      <c r="H408" s="42"/>
      <c r="I408" s="49"/>
      <c r="J408" s="49"/>
    </row>
    <row r="409" spans="1:10" s="2" customFormat="1" ht="22.5" customHeight="1" x14ac:dyDescent="0.15">
      <c r="A409" s="23"/>
      <c r="B409" s="23"/>
      <c r="C409" s="23"/>
      <c r="D409" s="49"/>
      <c r="E409" s="49"/>
      <c r="F409" s="85"/>
      <c r="G409" s="50"/>
      <c r="H409" s="42"/>
      <c r="I409" s="49"/>
      <c r="J409" s="49"/>
    </row>
    <row r="410" spans="1:10" s="2" customFormat="1" ht="22.5" customHeight="1" x14ac:dyDescent="0.15">
      <c r="A410" s="23"/>
      <c r="B410" s="23"/>
      <c r="C410" s="23"/>
      <c r="D410" s="49"/>
      <c r="E410" s="49"/>
      <c r="F410" s="85"/>
      <c r="G410" s="50"/>
      <c r="H410" s="42"/>
      <c r="I410" s="49"/>
      <c r="J410" s="49"/>
    </row>
    <row r="411" spans="1:10" s="2" customFormat="1" ht="22.5" customHeight="1" x14ac:dyDescent="0.15">
      <c r="A411" s="23"/>
      <c r="B411" s="23"/>
      <c r="C411" s="23"/>
      <c r="D411" s="49"/>
      <c r="E411" s="49"/>
      <c r="F411" s="85"/>
      <c r="G411" s="50"/>
      <c r="H411" s="42"/>
      <c r="I411" s="49"/>
      <c r="J411" s="49"/>
    </row>
    <row r="412" spans="1:10" s="2" customFormat="1" ht="22.5" customHeight="1" x14ac:dyDescent="0.15">
      <c r="A412" s="23"/>
      <c r="B412" s="23"/>
      <c r="C412" s="23"/>
      <c r="D412" s="49"/>
      <c r="E412" s="49"/>
      <c r="F412" s="85"/>
      <c r="G412" s="50"/>
      <c r="H412" s="42"/>
      <c r="I412" s="49"/>
      <c r="J412" s="49"/>
    </row>
    <row r="413" spans="1:10" s="2" customFormat="1" ht="22.5" customHeight="1" x14ac:dyDescent="0.15">
      <c r="A413" s="23"/>
      <c r="B413" s="23"/>
      <c r="C413" s="23"/>
      <c r="D413" s="49"/>
      <c r="E413" s="49"/>
      <c r="F413" s="85"/>
      <c r="G413" s="50"/>
      <c r="H413" s="42"/>
      <c r="I413" s="49"/>
      <c r="J413" s="49"/>
    </row>
    <row r="414" spans="1:10" s="2" customFormat="1" ht="22.5" customHeight="1" x14ac:dyDescent="0.15">
      <c r="A414" s="23"/>
      <c r="B414" s="23"/>
      <c r="C414" s="23"/>
      <c r="D414" s="49"/>
      <c r="E414" s="49"/>
      <c r="F414" s="85"/>
      <c r="G414" s="50"/>
      <c r="H414" s="42"/>
      <c r="I414" s="49"/>
      <c r="J414" s="49"/>
    </row>
    <row r="415" spans="1:10" s="2" customFormat="1" ht="22.5" customHeight="1" x14ac:dyDescent="0.15">
      <c r="A415" s="23"/>
      <c r="B415" s="23"/>
      <c r="C415" s="23"/>
      <c r="D415" s="49"/>
      <c r="E415" s="49"/>
      <c r="F415" s="85"/>
      <c r="G415" s="50"/>
      <c r="H415" s="42"/>
      <c r="I415" s="49"/>
      <c r="J415" s="49"/>
    </row>
    <row r="416" spans="1:10" s="2" customFormat="1" ht="22.5" customHeight="1" x14ac:dyDescent="0.15">
      <c r="A416" s="23"/>
      <c r="B416" s="23"/>
      <c r="C416" s="23"/>
      <c r="D416" s="49"/>
      <c r="E416" s="49"/>
      <c r="F416" s="85"/>
      <c r="G416" s="50"/>
      <c r="H416" s="42"/>
      <c r="I416" s="49"/>
      <c r="J416" s="49"/>
    </row>
    <row r="417" spans="1:10" s="2" customFormat="1" ht="22.5" customHeight="1" x14ac:dyDescent="0.15">
      <c r="A417" s="23"/>
      <c r="B417" s="23"/>
      <c r="C417" s="23"/>
      <c r="D417" s="49"/>
      <c r="E417" s="49"/>
      <c r="F417" s="85"/>
      <c r="G417" s="50"/>
      <c r="H417" s="42"/>
      <c r="I417" s="49"/>
      <c r="J417" s="49"/>
    </row>
    <row r="418" spans="1:10" s="2" customFormat="1" ht="22.5" customHeight="1" x14ac:dyDescent="0.15">
      <c r="A418" s="23"/>
      <c r="B418" s="23"/>
      <c r="C418" s="23"/>
      <c r="D418" s="49"/>
      <c r="E418" s="49"/>
      <c r="F418" s="85"/>
      <c r="G418" s="50"/>
      <c r="H418" s="42"/>
      <c r="I418" s="49"/>
      <c r="J418" s="49"/>
    </row>
    <row r="419" spans="1:10" s="2" customFormat="1" ht="22.5" customHeight="1" x14ac:dyDescent="0.15">
      <c r="A419" s="23"/>
      <c r="B419" s="23"/>
      <c r="C419" s="23"/>
      <c r="D419" s="49"/>
      <c r="E419" s="49"/>
      <c r="F419" s="85"/>
      <c r="G419" s="50"/>
      <c r="H419" s="42"/>
      <c r="I419" s="49"/>
      <c r="J419" s="49"/>
    </row>
    <row r="420" spans="1:10" s="2" customFormat="1" ht="22.5" customHeight="1" x14ac:dyDescent="0.15">
      <c r="A420" s="23"/>
      <c r="B420" s="23"/>
      <c r="C420" s="23"/>
      <c r="D420" s="49"/>
      <c r="E420" s="49"/>
      <c r="F420" s="85"/>
      <c r="G420" s="50"/>
      <c r="H420" s="42"/>
      <c r="I420" s="49"/>
      <c r="J420" s="49"/>
    </row>
    <row r="421" spans="1:10" s="2" customFormat="1" ht="22.5" customHeight="1" x14ac:dyDescent="0.15">
      <c r="A421" s="23"/>
      <c r="B421" s="23"/>
      <c r="C421" s="23"/>
      <c r="D421" s="49"/>
      <c r="E421" s="49"/>
      <c r="F421" s="85"/>
      <c r="G421" s="50"/>
      <c r="H421" s="42"/>
      <c r="I421" s="49"/>
      <c r="J421" s="49"/>
    </row>
    <row r="422" spans="1:10" s="2" customFormat="1" ht="22.5" customHeight="1" x14ac:dyDescent="0.15">
      <c r="A422" s="23"/>
      <c r="B422" s="23"/>
      <c r="C422" s="23"/>
      <c r="D422" s="49"/>
      <c r="E422" s="49"/>
      <c r="F422" s="85"/>
      <c r="G422" s="50"/>
      <c r="H422" s="42"/>
      <c r="I422" s="49"/>
      <c r="J422" s="49"/>
    </row>
    <row r="423" spans="1:10" s="2" customFormat="1" ht="22.5" customHeight="1" x14ac:dyDescent="0.15">
      <c r="A423" s="23"/>
      <c r="B423" s="23"/>
      <c r="C423" s="23"/>
      <c r="D423" s="49"/>
      <c r="E423" s="49"/>
      <c r="F423" s="85"/>
      <c r="G423" s="50"/>
      <c r="H423" s="42"/>
      <c r="I423" s="49"/>
      <c r="J423" s="49"/>
    </row>
    <row r="424" spans="1:10" s="2" customFormat="1" ht="22.5" customHeight="1" x14ac:dyDescent="0.15">
      <c r="A424" s="23"/>
      <c r="B424" s="23"/>
      <c r="C424" s="23"/>
      <c r="D424" s="49"/>
      <c r="E424" s="49"/>
      <c r="F424" s="85"/>
      <c r="G424" s="50"/>
      <c r="H424" s="42"/>
      <c r="I424" s="49"/>
      <c r="J424" s="49"/>
    </row>
    <row r="425" spans="1:10" s="2" customFormat="1" ht="22.5" customHeight="1" x14ac:dyDescent="0.15">
      <c r="A425" s="23"/>
      <c r="B425" s="23"/>
      <c r="C425" s="23"/>
      <c r="D425" s="49"/>
      <c r="E425" s="49"/>
      <c r="F425" s="85"/>
      <c r="G425" s="50"/>
      <c r="H425" s="42"/>
      <c r="I425" s="49"/>
      <c r="J425" s="49"/>
    </row>
    <row r="426" spans="1:10" s="2" customFormat="1" ht="22.5" customHeight="1" x14ac:dyDescent="0.15">
      <c r="A426" s="23"/>
      <c r="B426" s="23"/>
      <c r="C426" s="23"/>
      <c r="D426" s="49"/>
      <c r="E426" s="49"/>
      <c r="F426" s="85"/>
      <c r="G426" s="50"/>
      <c r="H426" s="42"/>
      <c r="I426" s="49"/>
      <c r="J426" s="49"/>
    </row>
    <row r="427" spans="1:10" s="2" customFormat="1" ht="22.5" customHeight="1" x14ac:dyDescent="0.15">
      <c r="A427" s="23"/>
      <c r="B427" s="23"/>
      <c r="C427" s="23"/>
      <c r="D427" s="49"/>
      <c r="E427" s="49"/>
      <c r="F427" s="85"/>
      <c r="G427" s="50"/>
      <c r="H427" s="42"/>
      <c r="I427" s="49"/>
      <c r="J427" s="49"/>
    </row>
    <row r="428" spans="1:10" s="2" customFormat="1" ht="22.5" customHeight="1" x14ac:dyDescent="0.15">
      <c r="A428" s="23"/>
      <c r="B428" s="23"/>
      <c r="C428" s="23"/>
      <c r="D428" s="49"/>
      <c r="E428" s="49"/>
      <c r="F428" s="85"/>
      <c r="G428" s="50"/>
      <c r="H428" s="42"/>
      <c r="I428" s="49"/>
      <c r="J428" s="49"/>
    </row>
    <row r="429" spans="1:10" s="2" customFormat="1" ht="22.5" customHeight="1" x14ac:dyDescent="0.15">
      <c r="A429" s="23"/>
      <c r="B429" s="23"/>
      <c r="C429" s="23"/>
      <c r="D429" s="49"/>
      <c r="E429" s="49"/>
      <c r="F429" s="85"/>
      <c r="G429" s="50"/>
      <c r="H429" s="42"/>
      <c r="I429" s="49"/>
      <c r="J429" s="49"/>
    </row>
    <row r="430" spans="1:10" s="2" customFormat="1" ht="22.5" customHeight="1" x14ac:dyDescent="0.15">
      <c r="A430" s="23"/>
      <c r="B430" s="23"/>
      <c r="C430" s="23"/>
      <c r="D430" s="49"/>
      <c r="E430" s="49"/>
      <c r="F430" s="85"/>
      <c r="G430" s="50"/>
      <c r="H430" s="42"/>
      <c r="I430" s="49"/>
      <c r="J430" s="49"/>
    </row>
    <row r="431" spans="1:10" s="2" customFormat="1" ht="22.5" customHeight="1" x14ac:dyDescent="0.15">
      <c r="A431" s="23"/>
      <c r="B431" s="23"/>
      <c r="C431" s="23"/>
      <c r="D431" s="49"/>
      <c r="E431" s="49"/>
      <c r="F431" s="85"/>
      <c r="G431" s="50"/>
      <c r="H431" s="42"/>
      <c r="I431" s="49"/>
      <c r="J431" s="49"/>
    </row>
    <row r="432" spans="1:10" s="2" customFormat="1" ht="22.5" customHeight="1" x14ac:dyDescent="0.15">
      <c r="A432" s="23"/>
      <c r="B432" s="23"/>
      <c r="C432" s="23"/>
      <c r="D432" s="49"/>
      <c r="E432" s="49"/>
      <c r="F432" s="85"/>
      <c r="G432" s="50"/>
      <c r="H432" s="42"/>
      <c r="I432" s="49"/>
      <c r="J432" s="49"/>
    </row>
    <row r="433" spans="1:10" s="2" customFormat="1" ht="22.5" customHeight="1" x14ac:dyDescent="0.15">
      <c r="A433" s="23"/>
      <c r="B433" s="23"/>
      <c r="C433" s="23"/>
      <c r="D433" s="49"/>
      <c r="E433" s="49"/>
      <c r="F433" s="85"/>
      <c r="G433" s="50"/>
      <c r="H433" s="42"/>
      <c r="I433" s="49"/>
      <c r="J433" s="49"/>
    </row>
    <row r="434" spans="1:10" s="2" customFormat="1" ht="22.5" customHeight="1" x14ac:dyDescent="0.15">
      <c r="A434" s="23"/>
      <c r="B434" s="23"/>
      <c r="C434" s="23"/>
      <c r="D434" s="49"/>
      <c r="E434" s="49"/>
      <c r="F434" s="85"/>
      <c r="G434" s="50"/>
      <c r="H434" s="42"/>
      <c r="I434" s="49"/>
      <c r="J434" s="49"/>
    </row>
    <row r="435" spans="1:10" s="2" customFormat="1" ht="22.5" customHeight="1" x14ac:dyDescent="0.15">
      <c r="A435" s="23"/>
      <c r="B435" s="23"/>
      <c r="C435" s="23"/>
      <c r="D435" s="49"/>
      <c r="E435" s="49"/>
      <c r="F435" s="85"/>
      <c r="G435" s="50"/>
      <c r="H435" s="42"/>
      <c r="I435" s="49"/>
      <c r="J435" s="49"/>
    </row>
    <row r="436" spans="1:10" s="2" customFormat="1" ht="22.5" customHeight="1" x14ac:dyDescent="0.15">
      <c r="A436" s="23"/>
      <c r="B436" s="23"/>
      <c r="C436" s="23"/>
      <c r="D436" s="49"/>
      <c r="E436" s="49"/>
      <c r="F436" s="85"/>
      <c r="G436" s="50"/>
      <c r="H436" s="42"/>
      <c r="I436" s="49"/>
      <c r="J436" s="49"/>
    </row>
    <row r="437" spans="1:10" s="2" customFormat="1" ht="22.5" customHeight="1" x14ac:dyDescent="0.15">
      <c r="A437" s="23"/>
      <c r="B437" s="23"/>
      <c r="C437" s="23"/>
      <c r="D437" s="49"/>
      <c r="E437" s="49"/>
      <c r="F437" s="85"/>
      <c r="G437" s="50"/>
      <c r="H437" s="42"/>
      <c r="I437" s="49"/>
      <c r="J437" s="49"/>
    </row>
    <row r="438" spans="1:10" s="2" customFormat="1" ht="22.5" customHeight="1" x14ac:dyDescent="0.15">
      <c r="A438" s="23"/>
      <c r="B438" s="23"/>
      <c r="C438" s="23"/>
      <c r="D438" s="49"/>
      <c r="E438" s="49"/>
      <c r="F438" s="85"/>
      <c r="G438" s="50"/>
      <c r="H438" s="42"/>
      <c r="I438" s="49"/>
      <c r="J438" s="49"/>
    </row>
    <row r="439" spans="1:10" s="2" customFormat="1" ht="22.5" customHeight="1" x14ac:dyDescent="0.15">
      <c r="A439" s="23"/>
      <c r="B439" s="23"/>
      <c r="C439" s="23"/>
      <c r="D439" s="49"/>
      <c r="E439" s="49"/>
      <c r="F439" s="85"/>
      <c r="G439" s="50"/>
      <c r="H439" s="42"/>
      <c r="I439" s="49"/>
      <c r="J439" s="49"/>
    </row>
    <row r="440" spans="1:10" s="2" customFormat="1" ht="22.5" customHeight="1" x14ac:dyDescent="0.15">
      <c r="A440" s="23"/>
      <c r="B440" s="23"/>
      <c r="C440" s="23"/>
      <c r="D440" s="49"/>
      <c r="E440" s="49"/>
      <c r="F440" s="85"/>
      <c r="G440" s="50"/>
      <c r="H440" s="42"/>
      <c r="I440" s="49"/>
      <c r="J440" s="49"/>
    </row>
    <row r="441" spans="1:10" s="2" customFormat="1" ht="22.5" customHeight="1" x14ac:dyDescent="0.15">
      <c r="A441" s="23"/>
      <c r="B441" s="23"/>
      <c r="C441" s="23"/>
      <c r="D441" s="49"/>
      <c r="E441" s="49"/>
      <c r="F441" s="85"/>
      <c r="G441" s="50"/>
      <c r="H441" s="42"/>
      <c r="I441" s="49"/>
      <c r="J441" s="49"/>
    </row>
    <row r="442" spans="1:10" s="2" customFormat="1" ht="22.5" customHeight="1" x14ac:dyDescent="0.15">
      <c r="A442" s="23"/>
      <c r="B442" s="23"/>
      <c r="C442" s="23"/>
      <c r="D442" s="49"/>
      <c r="E442" s="49"/>
      <c r="F442" s="85"/>
      <c r="G442" s="50"/>
      <c r="H442" s="42"/>
      <c r="I442" s="49"/>
      <c r="J442" s="49"/>
    </row>
    <row r="443" spans="1:10" s="2" customFormat="1" ht="22.5" customHeight="1" x14ac:dyDescent="0.15">
      <c r="A443" s="23"/>
      <c r="B443" s="23"/>
      <c r="C443" s="23"/>
      <c r="D443" s="49"/>
      <c r="E443" s="49"/>
      <c r="F443" s="85"/>
      <c r="G443" s="50"/>
      <c r="H443" s="42"/>
      <c r="I443" s="49"/>
      <c r="J443" s="49"/>
    </row>
    <row r="444" spans="1:10" s="2" customFormat="1" ht="22.5" customHeight="1" x14ac:dyDescent="0.15">
      <c r="A444" s="23"/>
      <c r="B444" s="23"/>
      <c r="C444" s="23"/>
      <c r="D444" s="49"/>
      <c r="E444" s="49"/>
      <c r="F444" s="85"/>
      <c r="G444" s="50"/>
      <c r="H444" s="42"/>
      <c r="I444" s="49"/>
      <c r="J444" s="49"/>
    </row>
    <row r="445" spans="1:10" s="2" customFormat="1" ht="22.5" customHeight="1" x14ac:dyDescent="0.15">
      <c r="A445" s="23"/>
      <c r="B445" s="23"/>
      <c r="C445" s="23"/>
      <c r="D445" s="49"/>
      <c r="E445" s="49"/>
      <c r="F445" s="85"/>
      <c r="G445" s="50"/>
      <c r="H445" s="42"/>
      <c r="I445" s="49"/>
      <c r="J445" s="49"/>
    </row>
    <row r="446" spans="1:10" s="2" customFormat="1" ht="22.5" customHeight="1" x14ac:dyDescent="0.15">
      <c r="A446" s="23"/>
      <c r="B446" s="23"/>
      <c r="C446" s="23"/>
      <c r="D446" s="49"/>
      <c r="E446" s="49"/>
      <c r="F446" s="85"/>
      <c r="G446" s="50"/>
      <c r="H446" s="42"/>
      <c r="I446" s="49"/>
      <c r="J446" s="49"/>
    </row>
    <row r="447" spans="1:10" s="2" customFormat="1" ht="22.5" customHeight="1" x14ac:dyDescent="0.15">
      <c r="A447" s="23"/>
      <c r="B447" s="23"/>
      <c r="C447" s="23"/>
      <c r="D447" s="49"/>
      <c r="E447" s="49"/>
      <c r="F447" s="85"/>
      <c r="G447" s="50"/>
      <c r="H447" s="42"/>
      <c r="I447" s="49"/>
      <c r="J447" s="49"/>
    </row>
    <row r="448" spans="1:10" s="2" customFormat="1" ht="22.5" customHeight="1" x14ac:dyDescent="0.15">
      <c r="A448" s="23"/>
      <c r="B448" s="23"/>
      <c r="C448" s="23"/>
      <c r="D448" s="49"/>
      <c r="E448" s="49"/>
      <c r="F448" s="85"/>
      <c r="G448" s="50"/>
      <c r="H448" s="42"/>
      <c r="I448" s="49"/>
      <c r="J448" s="49"/>
    </row>
    <row r="449" spans="1:10" s="2" customFormat="1" ht="22.5" customHeight="1" x14ac:dyDescent="0.15">
      <c r="A449" s="23"/>
      <c r="B449" s="23"/>
      <c r="C449" s="23"/>
      <c r="D449" s="49"/>
      <c r="E449" s="49"/>
      <c r="F449" s="85"/>
      <c r="G449" s="50"/>
      <c r="H449" s="42"/>
      <c r="I449" s="49"/>
      <c r="J449" s="49"/>
    </row>
    <row r="450" spans="1:10" s="2" customFormat="1" ht="22.5" customHeight="1" x14ac:dyDescent="0.15">
      <c r="A450" s="23"/>
      <c r="B450" s="23"/>
      <c r="C450" s="23"/>
      <c r="D450" s="49"/>
      <c r="E450" s="49"/>
      <c r="F450" s="85"/>
      <c r="G450" s="50"/>
      <c r="H450" s="42"/>
      <c r="I450" s="49"/>
      <c r="J450" s="49"/>
    </row>
    <row r="451" spans="1:10" s="2" customFormat="1" ht="22.5" customHeight="1" x14ac:dyDescent="0.15">
      <c r="A451" s="23"/>
      <c r="B451" s="23"/>
      <c r="C451" s="23"/>
      <c r="D451" s="49"/>
      <c r="E451" s="49"/>
      <c r="F451" s="85"/>
      <c r="G451" s="50"/>
      <c r="H451" s="42"/>
      <c r="I451" s="49"/>
      <c r="J451" s="49"/>
    </row>
    <row r="452" spans="1:10" s="2" customFormat="1" ht="22.5" customHeight="1" x14ac:dyDescent="0.15">
      <c r="A452" s="23"/>
      <c r="B452" s="23"/>
      <c r="C452" s="23"/>
      <c r="D452" s="49"/>
      <c r="E452" s="49"/>
      <c r="F452" s="85"/>
      <c r="G452" s="50"/>
      <c r="H452" s="42"/>
      <c r="I452" s="49"/>
      <c r="J452" s="49"/>
    </row>
    <row r="453" spans="1:10" s="2" customFormat="1" ht="22.5" customHeight="1" x14ac:dyDescent="0.15">
      <c r="A453" s="23"/>
      <c r="B453" s="23"/>
      <c r="C453" s="23"/>
      <c r="D453" s="49"/>
      <c r="E453" s="49"/>
      <c r="F453" s="85"/>
      <c r="G453" s="50"/>
      <c r="H453" s="42"/>
      <c r="I453" s="49"/>
      <c r="J453" s="49"/>
    </row>
    <row r="454" spans="1:10" s="2" customFormat="1" ht="22.5" customHeight="1" x14ac:dyDescent="0.15">
      <c r="A454" s="23"/>
      <c r="B454" s="23"/>
      <c r="C454" s="23"/>
      <c r="D454" s="49"/>
      <c r="E454" s="49"/>
      <c r="F454" s="85"/>
      <c r="G454" s="50"/>
      <c r="H454" s="42"/>
      <c r="I454" s="49"/>
      <c r="J454" s="49"/>
    </row>
    <row r="455" spans="1:10" s="2" customFormat="1" ht="22.5" customHeight="1" x14ac:dyDescent="0.15">
      <c r="A455" s="23"/>
      <c r="B455" s="23"/>
      <c r="C455" s="23"/>
      <c r="D455" s="49"/>
      <c r="E455" s="49"/>
      <c r="F455" s="85"/>
      <c r="G455" s="50"/>
      <c r="H455" s="42"/>
      <c r="I455" s="49"/>
      <c r="J455" s="49"/>
    </row>
    <row r="456" spans="1:10" s="2" customFormat="1" ht="22.5" customHeight="1" x14ac:dyDescent="0.15">
      <c r="A456" s="23"/>
      <c r="B456" s="23"/>
      <c r="C456" s="23"/>
      <c r="D456" s="49"/>
      <c r="E456" s="49"/>
      <c r="F456" s="85"/>
      <c r="G456" s="50"/>
      <c r="H456" s="42"/>
      <c r="I456" s="49"/>
      <c r="J456" s="49"/>
    </row>
    <row r="457" spans="1:10" s="2" customFormat="1" ht="22.5" customHeight="1" x14ac:dyDescent="0.15">
      <c r="A457" s="23"/>
      <c r="B457" s="23"/>
      <c r="C457" s="23"/>
      <c r="D457" s="49"/>
      <c r="E457" s="49"/>
      <c r="F457" s="85"/>
      <c r="G457" s="50"/>
      <c r="H457" s="42"/>
      <c r="I457" s="49"/>
      <c r="J457" s="49"/>
    </row>
    <row r="458" spans="1:10" s="2" customFormat="1" ht="22.5" customHeight="1" x14ac:dyDescent="0.15">
      <c r="A458" s="23"/>
      <c r="B458" s="23"/>
      <c r="C458" s="23"/>
      <c r="D458" s="49"/>
      <c r="E458" s="49"/>
      <c r="F458" s="85"/>
      <c r="G458" s="50"/>
      <c r="H458" s="42"/>
      <c r="I458" s="49"/>
      <c r="J458" s="49"/>
    </row>
    <row r="459" spans="1:10" s="2" customFormat="1" ht="22.5" customHeight="1" x14ac:dyDescent="0.15">
      <c r="A459" s="23"/>
      <c r="B459" s="23"/>
      <c r="C459" s="23"/>
      <c r="D459" s="49"/>
      <c r="E459" s="49"/>
      <c r="F459" s="85"/>
      <c r="G459" s="50"/>
      <c r="H459" s="42"/>
      <c r="I459" s="49"/>
      <c r="J459" s="49"/>
    </row>
    <row r="460" spans="1:10" s="2" customFormat="1" ht="22.5" customHeight="1" x14ac:dyDescent="0.15">
      <c r="A460" s="23"/>
      <c r="B460" s="23"/>
      <c r="C460" s="23"/>
      <c r="D460" s="49"/>
      <c r="E460" s="49"/>
      <c r="F460" s="85"/>
      <c r="G460" s="50"/>
      <c r="H460" s="42"/>
      <c r="I460" s="49"/>
      <c r="J460" s="49"/>
    </row>
    <row r="461" spans="1:10" s="2" customFormat="1" ht="22.5" customHeight="1" x14ac:dyDescent="0.15">
      <c r="A461" s="23"/>
      <c r="B461" s="23"/>
      <c r="C461" s="23"/>
      <c r="D461" s="49"/>
      <c r="E461" s="49"/>
      <c r="F461" s="85"/>
      <c r="G461" s="50"/>
      <c r="H461" s="42"/>
      <c r="I461" s="49"/>
      <c r="J461" s="49"/>
    </row>
    <row r="462" spans="1:10" s="2" customFormat="1" ht="22.5" customHeight="1" x14ac:dyDescent="0.15">
      <c r="A462" s="23"/>
      <c r="B462" s="23"/>
      <c r="C462" s="23"/>
      <c r="D462" s="49"/>
      <c r="E462" s="49"/>
      <c r="F462" s="85"/>
      <c r="G462" s="50"/>
      <c r="H462" s="42"/>
      <c r="I462" s="49"/>
      <c r="J462" s="49"/>
    </row>
    <row r="463" spans="1:10" s="2" customFormat="1" ht="22.5" customHeight="1" x14ac:dyDescent="0.15">
      <c r="A463" s="23"/>
      <c r="B463" s="23"/>
      <c r="C463" s="23"/>
      <c r="D463" s="49"/>
      <c r="E463" s="49"/>
      <c r="F463" s="85"/>
      <c r="G463" s="50"/>
      <c r="H463" s="42"/>
      <c r="I463" s="49"/>
      <c r="J463" s="49"/>
    </row>
    <row r="464" spans="1:10" s="2" customFormat="1" ht="22.5" customHeight="1" x14ac:dyDescent="0.15">
      <c r="A464" s="23"/>
      <c r="B464" s="23"/>
      <c r="C464" s="23"/>
      <c r="D464" s="49"/>
      <c r="E464" s="49"/>
      <c r="F464" s="85"/>
      <c r="G464" s="50"/>
      <c r="H464" s="42"/>
      <c r="I464" s="49"/>
      <c r="J464" s="49"/>
    </row>
    <row r="465" spans="1:10" s="2" customFormat="1" ht="22.5" customHeight="1" x14ac:dyDescent="0.15">
      <c r="A465" s="23"/>
      <c r="B465" s="23"/>
      <c r="C465" s="23"/>
      <c r="D465" s="49"/>
      <c r="E465" s="49"/>
      <c r="F465" s="85"/>
      <c r="G465" s="50"/>
      <c r="H465" s="42"/>
      <c r="I465" s="49"/>
      <c r="J465" s="49"/>
    </row>
    <row r="466" spans="1:10" s="2" customFormat="1" ht="22.5" customHeight="1" x14ac:dyDescent="0.15">
      <c r="A466" s="23"/>
      <c r="B466" s="23"/>
      <c r="C466" s="23"/>
      <c r="D466" s="49"/>
      <c r="E466" s="49"/>
      <c r="F466" s="85"/>
      <c r="G466" s="50"/>
      <c r="H466" s="42"/>
      <c r="I466" s="49"/>
      <c r="J466" s="49"/>
    </row>
    <row r="467" spans="1:10" s="2" customFormat="1" ht="22.5" customHeight="1" x14ac:dyDescent="0.15">
      <c r="A467" s="23"/>
      <c r="B467" s="23"/>
      <c r="C467" s="23"/>
      <c r="D467" s="49"/>
      <c r="E467" s="49"/>
      <c r="F467" s="85"/>
      <c r="G467" s="50"/>
      <c r="H467" s="42"/>
      <c r="I467" s="49"/>
      <c r="J467" s="49"/>
    </row>
    <row r="468" spans="1:10" s="2" customFormat="1" ht="22.5" customHeight="1" x14ac:dyDescent="0.15">
      <c r="A468" s="23"/>
      <c r="B468" s="23"/>
      <c r="C468" s="23"/>
      <c r="D468" s="49"/>
      <c r="E468" s="49"/>
      <c r="F468" s="85"/>
      <c r="G468" s="50"/>
      <c r="H468" s="42"/>
      <c r="I468" s="49"/>
      <c r="J468" s="49"/>
    </row>
    <row r="469" spans="1:10" s="2" customFormat="1" ht="22.5" customHeight="1" x14ac:dyDescent="0.15">
      <c r="A469" s="23"/>
      <c r="B469" s="23"/>
      <c r="C469" s="23"/>
      <c r="D469" s="49"/>
      <c r="E469" s="49"/>
      <c r="F469" s="85"/>
      <c r="G469" s="50"/>
      <c r="H469" s="42"/>
      <c r="I469" s="49"/>
      <c r="J469" s="49"/>
    </row>
    <row r="470" spans="1:10" s="2" customFormat="1" ht="22.5" customHeight="1" x14ac:dyDescent="0.15">
      <c r="A470" s="23"/>
      <c r="B470" s="23"/>
      <c r="C470" s="23"/>
      <c r="D470" s="49"/>
      <c r="E470" s="49"/>
      <c r="F470" s="85"/>
      <c r="G470" s="50"/>
      <c r="H470" s="42"/>
      <c r="I470" s="49"/>
      <c r="J470" s="49"/>
    </row>
    <row r="471" spans="1:10" s="2" customFormat="1" ht="22.5" customHeight="1" x14ac:dyDescent="0.15">
      <c r="A471" s="23"/>
      <c r="B471" s="23"/>
      <c r="C471" s="23"/>
      <c r="D471" s="49"/>
      <c r="E471" s="49"/>
      <c r="F471" s="85"/>
      <c r="G471" s="50"/>
      <c r="H471" s="42"/>
      <c r="I471" s="49"/>
      <c r="J471" s="49"/>
    </row>
    <row r="472" spans="1:10" s="2" customFormat="1" ht="22.5" customHeight="1" x14ac:dyDescent="0.15">
      <c r="A472" s="23"/>
      <c r="B472" s="23"/>
      <c r="C472" s="23"/>
      <c r="D472" s="49"/>
      <c r="E472" s="49"/>
      <c r="F472" s="85"/>
      <c r="G472" s="50"/>
      <c r="H472" s="42"/>
      <c r="I472" s="49"/>
      <c r="J472" s="49"/>
    </row>
    <row r="473" spans="1:10" s="2" customFormat="1" ht="22.5" customHeight="1" x14ac:dyDescent="0.15">
      <c r="A473" s="23"/>
      <c r="B473" s="23"/>
      <c r="C473" s="23"/>
      <c r="D473" s="49"/>
      <c r="E473" s="49"/>
      <c r="F473" s="85"/>
      <c r="G473" s="50"/>
      <c r="H473" s="42"/>
      <c r="I473" s="49"/>
      <c r="J473" s="49"/>
    </row>
    <row r="474" spans="1:10" s="2" customFormat="1" ht="22.5" customHeight="1" x14ac:dyDescent="0.15">
      <c r="A474" s="23"/>
      <c r="B474" s="23"/>
      <c r="C474" s="23"/>
      <c r="D474" s="49"/>
      <c r="E474" s="49"/>
      <c r="F474" s="85"/>
      <c r="G474" s="50"/>
      <c r="H474" s="42"/>
      <c r="I474" s="49"/>
      <c r="J474" s="49"/>
    </row>
    <row r="475" spans="1:10" s="2" customFormat="1" ht="22.5" customHeight="1" x14ac:dyDescent="0.15">
      <c r="A475" s="23"/>
      <c r="B475" s="23"/>
      <c r="C475" s="23"/>
      <c r="D475" s="49"/>
      <c r="E475" s="49"/>
      <c r="F475" s="85"/>
      <c r="G475" s="50"/>
      <c r="H475" s="42"/>
      <c r="I475" s="49"/>
      <c r="J475" s="49"/>
    </row>
    <row r="476" spans="1:10" s="2" customFormat="1" ht="22.5" customHeight="1" x14ac:dyDescent="0.15">
      <c r="A476" s="23"/>
      <c r="B476" s="23"/>
      <c r="C476" s="23"/>
      <c r="D476" s="49"/>
      <c r="E476" s="49"/>
      <c r="F476" s="85"/>
      <c r="G476" s="50"/>
      <c r="H476" s="42"/>
      <c r="I476" s="49"/>
      <c r="J476" s="49"/>
    </row>
    <row r="477" spans="1:10" s="2" customFormat="1" ht="22.5" customHeight="1" x14ac:dyDescent="0.15">
      <c r="A477" s="23"/>
      <c r="B477" s="23"/>
      <c r="C477" s="23"/>
      <c r="D477" s="49"/>
      <c r="E477" s="49"/>
      <c r="F477" s="85"/>
      <c r="G477" s="50"/>
      <c r="H477" s="42"/>
      <c r="I477" s="49"/>
      <c r="J477" s="49"/>
    </row>
    <row r="478" spans="1:10" s="2" customFormat="1" ht="22.5" customHeight="1" x14ac:dyDescent="0.15">
      <c r="A478" s="23"/>
      <c r="B478" s="23"/>
      <c r="C478" s="23"/>
      <c r="D478" s="49"/>
      <c r="E478" s="49"/>
      <c r="F478" s="85"/>
      <c r="G478" s="50"/>
      <c r="H478" s="42"/>
      <c r="I478" s="49"/>
      <c r="J478" s="49"/>
    </row>
    <row r="479" spans="1:10" s="2" customFormat="1" ht="22.5" customHeight="1" x14ac:dyDescent="0.15">
      <c r="A479" s="23"/>
      <c r="B479" s="23"/>
      <c r="C479" s="23"/>
      <c r="D479" s="49"/>
      <c r="E479" s="49"/>
      <c r="F479" s="85"/>
      <c r="G479" s="50"/>
      <c r="H479" s="42"/>
      <c r="I479" s="49"/>
      <c r="J479" s="49"/>
    </row>
    <row r="480" spans="1:10" s="2" customFormat="1" ht="22.5" customHeight="1" x14ac:dyDescent="0.15">
      <c r="A480" s="23"/>
      <c r="B480" s="23"/>
      <c r="C480" s="23"/>
      <c r="D480" s="49"/>
      <c r="E480" s="49"/>
      <c r="F480" s="85"/>
      <c r="G480" s="50"/>
      <c r="H480" s="42"/>
      <c r="I480" s="49"/>
      <c r="J480" s="49"/>
    </row>
    <row r="481" spans="1:10" s="2" customFormat="1" ht="22.5" customHeight="1" x14ac:dyDescent="0.15">
      <c r="A481" s="23"/>
      <c r="B481" s="23"/>
      <c r="C481" s="23"/>
      <c r="D481" s="49"/>
      <c r="E481" s="49"/>
      <c r="F481" s="85"/>
      <c r="G481" s="50"/>
      <c r="H481" s="42"/>
      <c r="I481" s="49"/>
      <c r="J481" s="49"/>
    </row>
    <row r="482" spans="1:10" s="2" customFormat="1" ht="22.5" customHeight="1" x14ac:dyDescent="0.15">
      <c r="A482" s="23"/>
      <c r="B482" s="23"/>
      <c r="C482" s="23"/>
      <c r="D482" s="49"/>
      <c r="E482" s="49"/>
      <c r="F482" s="85"/>
      <c r="G482" s="50"/>
      <c r="H482" s="42"/>
      <c r="I482" s="49"/>
      <c r="J482" s="49"/>
    </row>
    <row r="483" spans="1:10" s="2" customFormat="1" ht="22.5" customHeight="1" x14ac:dyDescent="0.15">
      <c r="A483" s="23"/>
      <c r="B483" s="23"/>
      <c r="C483" s="23"/>
      <c r="D483" s="49"/>
      <c r="E483" s="49"/>
      <c r="F483" s="85"/>
      <c r="G483" s="50"/>
      <c r="H483" s="42"/>
      <c r="I483" s="49"/>
      <c r="J483" s="49"/>
    </row>
    <row r="484" spans="1:10" s="2" customFormat="1" ht="22.5" customHeight="1" x14ac:dyDescent="0.15">
      <c r="A484" s="23"/>
      <c r="B484" s="23"/>
      <c r="C484" s="23"/>
      <c r="D484" s="49"/>
      <c r="E484" s="49"/>
      <c r="F484" s="85"/>
      <c r="G484" s="50"/>
      <c r="H484" s="42"/>
      <c r="I484" s="49"/>
      <c r="J484" s="49"/>
    </row>
    <row r="485" spans="1:10" s="2" customFormat="1" ht="22.5" customHeight="1" x14ac:dyDescent="0.15">
      <c r="A485" s="23"/>
      <c r="B485" s="23"/>
      <c r="C485" s="23"/>
      <c r="D485" s="49"/>
      <c r="E485" s="49"/>
      <c r="F485" s="85"/>
      <c r="G485" s="50"/>
      <c r="H485" s="42"/>
      <c r="I485" s="49"/>
      <c r="J485" s="49"/>
    </row>
    <row r="486" spans="1:10" s="2" customFormat="1" ht="22.5" customHeight="1" x14ac:dyDescent="0.15">
      <c r="A486" s="23"/>
      <c r="B486" s="23"/>
      <c r="C486" s="23"/>
      <c r="D486" s="49"/>
      <c r="E486" s="49"/>
      <c r="F486" s="85"/>
      <c r="G486" s="50"/>
      <c r="H486" s="42"/>
      <c r="I486" s="49"/>
      <c r="J486" s="49"/>
    </row>
    <row r="487" spans="1:10" s="2" customFormat="1" ht="22.5" customHeight="1" x14ac:dyDescent="0.15">
      <c r="A487" s="23"/>
      <c r="B487" s="23"/>
      <c r="C487" s="23"/>
      <c r="D487" s="49"/>
      <c r="E487" s="49"/>
      <c r="F487" s="85"/>
      <c r="G487" s="50"/>
      <c r="H487" s="42"/>
      <c r="I487" s="49"/>
      <c r="J487" s="49"/>
    </row>
    <row r="488" spans="1:10" s="2" customFormat="1" ht="22.5" customHeight="1" x14ac:dyDescent="0.15">
      <c r="A488" s="23"/>
      <c r="B488" s="23"/>
      <c r="C488" s="23"/>
      <c r="D488" s="49"/>
      <c r="E488" s="49"/>
      <c r="F488" s="85"/>
      <c r="G488" s="50"/>
      <c r="H488" s="42"/>
      <c r="I488" s="49"/>
      <c r="J488" s="49"/>
    </row>
    <row r="489" spans="1:10" s="2" customFormat="1" ht="22.5" customHeight="1" x14ac:dyDescent="0.15">
      <c r="A489" s="23"/>
      <c r="B489" s="23"/>
      <c r="C489" s="23"/>
      <c r="D489" s="49"/>
      <c r="E489" s="49"/>
      <c r="F489" s="85"/>
      <c r="G489" s="50"/>
      <c r="H489" s="42"/>
      <c r="I489" s="49"/>
      <c r="J489" s="49"/>
    </row>
    <row r="490" spans="1:10" s="2" customFormat="1" ht="22.5" customHeight="1" x14ac:dyDescent="0.15">
      <c r="A490" s="23"/>
      <c r="B490" s="23"/>
      <c r="C490" s="23"/>
      <c r="D490" s="49"/>
      <c r="E490" s="49"/>
      <c r="F490" s="85"/>
      <c r="G490" s="50"/>
      <c r="H490" s="42"/>
      <c r="I490" s="49"/>
      <c r="J490" s="49"/>
    </row>
    <row r="491" spans="1:10" s="2" customFormat="1" ht="22.5" customHeight="1" x14ac:dyDescent="0.15">
      <c r="A491" s="23"/>
      <c r="B491" s="23"/>
      <c r="C491" s="23"/>
      <c r="D491" s="49"/>
      <c r="E491" s="49"/>
      <c r="F491" s="85"/>
      <c r="G491" s="50"/>
      <c r="H491" s="42"/>
      <c r="I491" s="49"/>
      <c r="J491" s="49"/>
    </row>
    <row r="492" spans="1:10" s="2" customFormat="1" ht="22.5" customHeight="1" x14ac:dyDescent="0.15">
      <c r="A492" s="23"/>
      <c r="B492" s="23"/>
      <c r="C492" s="23"/>
      <c r="D492" s="49"/>
      <c r="E492" s="49"/>
      <c r="F492" s="85"/>
      <c r="G492" s="50"/>
      <c r="H492" s="42"/>
      <c r="I492" s="49"/>
      <c r="J492" s="49"/>
    </row>
    <row r="493" spans="1:10" s="2" customFormat="1" ht="22.5" customHeight="1" x14ac:dyDescent="0.15">
      <c r="A493" s="23"/>
      <c r="B493" s="23"/>
      <c r="C493" s="23"/>
      <c r="D493" s="49"/>
      <c r="E493" s="49"/>
      <c r="F493" s="85"/>
      <c r="G493" s="50"/>
      <c r="H493" s="42"/>
      <c r="I493" s="49"/>
      <c r="J493" s="49"/>
    </row>
    <row r="494" spans="1:10" s="2" customFormat="1" ht="22.5" customHeight="1" x14ac:dyDescent="0.15">
      <c r="A494" s="23"/>
      <c r="B494" s="23"/>
      <c r="C494" s="23"/>
      <c r="D494" s="49"/>
      <c r="E494" s="49"/>
      <c r="F494" s="85"/>
      <c r="G494" s="50"/>
      <c r="H494" s="42"/>
      <c r="I494" s="49"/>
      <c r="J494" s="49"/>
    </row>
    <row r="495" spans="1:10" s="2" customFormat="1" ht="22.5" customHeight="1" x14ac:dyDescent="0.15">
      <c r="A495" s="23"/>
      <c r="B495" s="23"/>
      <c r="C495" s="23"/>
      <c r="D495" s="49"/>
      <c r="E495" s="49"/>
      <c r="F495" s="85"/>
      <c r="G495" s="50"/>
      <c r="H495" s="42"/>
      <c r="I495" s="49"/>
      <c r="J495" s="49"/>
    </row>
    <row r="496" spans="1:10" s="2" customFormat="1" ht="22.5" customHeight="1" x14ac:dyDescent="0.15">
      <c r="A496" s="23"/>
      <c r="B496" s="23"/>
      <c r="C496" s="23"/>
      <c r="D496" s="49"/>
      <c r="E496" s="49"/>
      <c r="F496" s="85"/>
      <c r="G496" s="50"/>
      <c r="H496" s="42"/>
      <c r="I496" s="49"/>
      <c r="J496" s="49"/>
    </row>
    <row r="497" spans="1:10" s="2" customFormat="1" ht="22.5" customHeight="1" x14ac:dyDescent="0.15">
      <c r="A497" s="23"/>
      <c r="B497" s="23"/>
      <c r="C497" s="23"/>
      <c r="D497" s="49"/>
      <c r="E497" s="49"/>
      <c r="F497" s="85"/>
      <c r="G497" s="50"/>
      <c r="H497" s="42"/>
      <c r="I497" s="49"/>
      <c r="J497" s="49"/>
    </row>
    <row r="498" spans="1:10" s="2" customFormat="1" ht="22.5" customHeight="1" x14ac:dyDescent="0.15">
      <c r="A498" s="23"/>
      <c r="B498" s="23"/>
      <c r="C498" s="23"/>
      <c r="D498" s="49"/>
      <c r="E498" s="49"/>
      <c r="F498" s="85"/>
      <c r="G498" s="50"/>
      <c r="H498" s="42"/>
      <c r="I498" s="49"/>
      <c r="J498" s="49"/>
    </row>
    <row r="499" spans="1:10" s="2" customFormat="1" ht="22.5" customHeight="1" x14ac:dyDescent="0.15">
      <c r="A499" s="23"/>
      <c r="B499" s="23"/>
      <c r="C499" s="23"/>
      <c r="D499" s="49"/>
      <c r="E499" s="49"/>
      <c r="F499" s="85"/>
      <c r="G499" s="50"/>
      <c r="H499" s="42"/>
      <c r="I499" s="49"/>
      <c r="J499" s="49"/>
    </row>
    <row r="500" spans="1:10" s="2" customFormat="1" ht="22.5" customHeight="1" x14ac:dyDescent="0.15">
      <c r="A500" s="23"/>
      <c r="B500" s="23"/>
      <c r="C500" s="23"/>
      <c r="D500" s="49"/>
      <c r="E500" s="49"/>
      <c r="F500" s="85"/>
      <c r="G500" s="50"/>
      <c r="H500" s="42"/>
      <c r="I500" s="49"/>
      <c r="J500" s="49"/>
    </row>
    <row r="501" spans="1:10" s="2" customFormat="1" ht="22.5" customHeight="1" x14ac:dyDescent="0.15">
      <c r="A501" s="23"/>
      <c r="B501" s="23"/>
      <c r="C501" s="23"/>
      <c r="D501" s="49"/>
      <c r="E501" s="49"/>
      <c r="F501" s="85"/>
      <c r="G501" s="50"/>
      <c r="H501" s="42"/>
      <c r="I501" s="49"/>
      <c r="J501" s="49"/>
    </row>
    <row r="502" spans="1:10" s="2" customFormat="1" ht="22.5" customHeight="1" x14ac:dyDescent="0.15">
      <c r="A502" s="23"/>
      <c r="B502" s="23"/>
      <c r="C502" s="23"/>
      <c r="D502" s="49"/>
      <c r="E502" s="49"/>
      <c r="F502" s="85"/>
      <c r="G502" s="50"/>
      <c r="H502" s="42"/>
      <c r="I502" s="49"/>
      <c r="J502" s="49"/>
    </row>
    <row r="503" spans="1:10" s="2" customFormat="1" ht="22.5" customHeight="1" x14ac:dyDescent="0.15">
      <c r="A503" s="23"/>
      <c r="B503" s="23"/>
      <c r="C503" s="23"/>
      <c r="D503" s="49"/>
      <c r="E503" s="49"/>
      <c r="F503" s="85"/>
      <c r="G503" s="50"/>
      <c r="H503" s="42"/>
      <c r="I503" s="49"/>
      <c r="J503" s="49"/>
    </row>
    <row r="504" spans="1:10" s="2" customFormat="1" ht="22.5" customHeight="1" x14ac:dyDescent="0.15">
      <c r="A504" s="23"/>
      <c r="B504" s="23"/>
      <c r="C504" s="23"/>
      <c r="D504" s="49"/>
      <c r="E504" s="49"/>
      <c r="F504" s="85"/>
      <c r="G504" s="50"/>
      <c r="H504" s="42"/>
      <c r="I504" s="49"/>
      <c r="J504" s="49"/>
    </row>
    <row r="505" spans="1:10" s="2" customFormat="1" ht="22.5" customHeight="1" x14ac:dyDescent="0.15">
      <c r="A505" s="23"/>
      <c r="B505" s="23"/>
      <c r="C505" s="23"/>
      <c r="D505" s="49"/>
      <c r="E505" s="49"/>
      <c r="F505" s="85"/>
      <c r="G505" s="50"/>
      <c r="H505" s="42"/>
      <c r="I505" s="49"/>
      <c r="J505" s="49"/>
    </row>
    <row r="506" spans="1:10" s="2" customFormat="1" ht="22.5" customHeight="1" x14ac:dyDescent="0.15">
      <c r="A506" s="23"/>
      <c r="B506" s="23"/>
      <c r="C506" s="23"/>
      <c r="D506" s="49"/>
      <c r="E506" s="49"/>
      <c r="F506" s="85"/>
      <c r="G506" s="50"/>
      <c r="H506" s="42"/>
      <c r="I506" s="49"/>
      <c r="J506" s="49"/>
    </row>
    <row r="507" spans="1:10" s="2" customFormat="1" ht="22.5" customHeight="1" x14ac:dyDescent="0.15">
      <c r="A507" s="23"/>
      <c r="B507" s="23"/>
      <c r="C507" s="23"/>
      <c r="D507" s="49"/>
      <c r="E507" s="49"/>
      <c r="F507" s="85"/>
      <c r="G507" s="50"/>
      <c r="H507" s="42"/>
      <c r="I507" s="49"/>
      <c r="J507" s="49"/>
    </row>
    <row r="508" spans="1:10" s="2" customFormat="1" ht="22.5" customHeight="1" x14ac:dyDescent="0.15">
      <c r="A508" s="23"/>
      <c r="B508" s="23"/>
      <c r="C508" s="23"/>
      <c r="D508" s="49"/>
      <c r="E508" s="49"/>
      <c r="F508" s="85"/>
      <c r="G508" s="50"/>
      <c r="H508" s="42"/>
      <c r="I508" s="49"/>
      <c r="J508" s="49"/>
    </row>
    <row r="509" spans="1:10" s="2" customFormat="1" ht="22.5" customHeight="1" x14ac:dyDescent="0.15">
      <c r="A509" s="23"/>
      <c r="B509" s="23"/>
      <c r="C509" s="23"/>
      <c r="D509" s="49"/>
      <c r="E509" s="49"/>
      <c r="F509" s="85"/>
      <c r="G509" s="50"/>
      <c r="H509" s="42"/>
      <c r="I509" s="49"/>
      <c r="J509" s="49"/>
    </row>
    <row r="510" spans="1:10" s="2" customFormat="1" ht="22.5" customHeight="1" x14ac:dyDescent="0.15">
      <c r="A510" s="23"/>
      <c r="B510" s="23"/>
      <c r="C510" s="23"/>
      <c r="D510" s="49"/>
      <c r="E510" s="49"/>
      <c r="F510" s="85"/>
      <c r="G510" s="50"/>
      <c r="H510" s="42"/>
      <c r="I510" s="49"/>
      <c r="J510" s="49"/>
    </row>
    <row r="511" spans="1:10" s="2" customFormat="1" ht="22.5" customHeight="1" x14ac:dyDescent="0.15">
      <c r="A511" s="23"/>
      <c r="B511" s="23"/>
      <c r="C511" s="23"/>
      <c r="D511" s="49"/>
      <c r="E511" s="49"/>
      <c r="F511" s="85"/>
      <c r="G511" s="50"/>
      <c r="H511" s="42"/>
      <c r="I511" s="49"/>
      <c r="J511" s="49"/>
    </row>
    <row r="512" spans="1:10" s="2" customFormat="1" ht="22.5" customHeight="1" x14ac:dyDescent="0.15">
      <c r="A512" s="23"/>
      <c r="B512" s="23"/>
      <c r="C512" s="23"/>
      <c r="D512" s="49"/>
      <c r="E512" s="49"/>
      <c r="F512" s="85"/>
      <c r="G512" s="50"/>
      <c r="H512" s="42"/>
      <c r="I512" s="49"/>
      <c r="J512" s="49"/>
    </row>
    <row r="513" spans="1:10" s="2" customFormat="1" ht="22.5" customHeight="1" x14ac:dyDescent="0.15">
      <c r="A513" s="23"/>
      <c r="B513" s="23"/>
      <c r="C513" s="23"/>
      <c r="D513" s="49"/>
      <c r="E513" s="49"/>
      <c r="F513" s="85"/>
      <c r="G513" s="50"/>
      <c r="H513" s="42"/>
      <c r="I513" s="49"/>
      <c r="J513" s="49"/>
    </row>
    <row r="514" spans="1:10" s="2" customFormat="1" ht="22.5" customHeight="1" x14ac:dyDescent="0.15">
      <c r="A514" s="23"/>
      <c r="B514" s="23"/>
      <c r="C514" s="23"/>
      <c r="D514" s="49"/>
      <c r="E514" s="49"/>
      <c r="F514" s="85"/>
      <c r="G514" s="50"/>
      <c r="H514" s="42"/>
      <c r="I514" s="49"/>
      <c r="J514" s="49"/>
    </row>
    <row r="515" spans="1:10" s="2" customFormat="1" ht="22.5" customHeight="1" x14ac:dyDescent="0.15">
      <c r="A515" s="23"/>
      <c r="B515" s="23"/>
      <c r="C515" s="23"/>
      <c r="D515" s="49"/>
      <c r="E515" s="49"/>
      <c r="F515" s="85"/>
      <c r="G515" s="50"/>
      <c r="H515" s="42"/>
      <c r="I515" s="49"/>
      <c r="J515" s="49"/>
    </row>
    <row r="516" spans="1:10" s="2" customFormat="1" ht="22.5" customHeight="1" x14ac:dyDescent="0.15">
      <c r="A516" s="23"/>
      <c r="B516" s="23"/>
      <c r="C516" s="23"/>
      <c r="D516" s="49"/>
      <c r="E516" s="49"/>
      <c r="F516" s="85"/>
      <c r="G516" s="50"/>
      <c r="H516" s="42"/>
      <c r="I516" s="49"/>
      <c r="J516" s="49"/>
    </row>
    <row r="517" spans="1:10" s="2" customFormat="1" ht="22.5" customHeight="1" x14ac:dyDescent="0.15">
      <c r="A517" s="23"/>
      <c r="B517" s="23"/>
      <c r="C517" s="23"/>
      <c r="D517" s="49"/>
      <c r="E517" s="49"/>
      <c r="F517" s="85"/>
      <c r="G517" s="50"/>
      <c r="H517" s="42"/>
      <c r="I517" s="49"/>
      <c r="J517" s="49"/>
    </row>
    <row r="518" spans="1:10" s="2" customFormat="1" ht="22.5" customHeight="1" x14ac:dyDescent="0.15">
      <c r="A518" s="23"/>
      <c r="B518" s="23"/>
      <c r="C518" s="23"/>
      <c r="D518" s="49"/>
      <c r="E518" s="49"/>
      <c r="F518" s="85"/>
      <c r="G518" s="50"/>
      <c r="H518" s="42"/>
      <c r="I518" s="49"/>
      <c r="J518" s="49"/>
    </row>
    <row r="519" spans="1:10" s="2" customFormat="1" ht="22.5" customHeight="1" x14ac:dyDescent="0.15">
      <c r="A519" s="23"/>
      <c r="B519" s="23"/>
      <c r="C519" s="23"/>
      <c r="D519" s="49"/>
      <c r="E519" s="49"/>
      <c r="F519" s="85"/>
      <c r="G519" s="50"/>
      <c r="H519" s="42"/>
      <c r="I519" s="49"/>
      <c r="J519" s="49"/>
    </row>
    <row r="520" spans="1:10" s="2" customFormat="1" ht="22.5" customHeight="1" x14ac:dyDescent="0.15">
      <c r="A520" s="23"/>
      <c r="B520" s="23"/>
      <c r="C520" s="23"/>
      <c r="D520" s="49"/>
      <c r="E520" s="49"/>
      <c r="F520" s="85"/>
      <c r="G520" s="50"/>
      <c r="H520" s="42"/>
      <c r="I520" s="49"/>
      <c r="J520" s="49"/>
    </row>
    <row r="521" spans="1:10" s="2" customFormat="1" ht="22.5" customHeight="1" x14ac:dyDescent="0.15">
      <c r="A521" s="23"/>
      <c r="B521" s="23"/>
      <c r="C521" s="23"/>
      <c r="D521" s="49"/>
      <c r="E521" s="49"/>
      <c r="F521" s="85"/>
      <c r="G521" s="50"/>
      <c r="H521" s="42"/>
      <c r="I521" s="49"/>
      <c r="J521" s="49"/>
    </row>
    <row r="522" spans="1:10" s="2" customFormat="1" ht="22.5" customHeight="1" x14ac:dyDescent="0.15">
      <c r="A522" s="23"/>
      <c r="B522" s="23"/>
      <c r="C522" s="23"/>
      <c r="D522" s="49"/>
      <c r="E522" s="49"/>
      <c r="F522" s="85"/>
      <c r="G522" s="50"/>
      <c r="H522" s="42"/>
      <c r="I522" s="49"/>
      <c r="J522" s="49"/>
    </row>
    <row r="523" spans="1:10" s="2" customFormat="1" ht="22.5" customHeight="1" x14ac:dyDescent="0.15">
      <c r="A523" s="23"/>
      <c r="B523" s="23"/>
      <c r="C523" s="23"/>
      <c r="D523" s="49"/>
      <c r="E523" s="49"/>
      <c r="F523" s="85"/>
      <c r="G523" s="50"/>
      <c r="H523" s="42"/>
      <c r="I523" s="49"/>
      <c r="J523" s="49"/>
    </row>
    <row r="524" spans="1:10" s="2" customFormat="1" ht="22.5" customHeight="1" x14ac:dyDescent="0.15">
      <c r="A524" s="23"/>
      <c r="B524" s="23"/>
      <c r="C524" s="23"/>
      <c r="D524" s="49"/>
      <c r="E524" s="49"/>
      <c r="F524" s="85"/>
      <c r="G524" s="50"/>
      <c r="H524" s="42"/>
      <c r="I524" s="49"/>
      <c r="J524" s="49"/>
    </row>
    <row r="525" spans="1:10" s="2" customFormat="1" ht="22.5" customHeight="1" x14ac:dyDescent="0.15">
      <c r="A525" s="23"/>
      <c r="B525" s="23"/>
      <c r="C525" s="23"/>
      <c r="D525" s="49"/>
      <c r="E525" s="49"/>
      <c r="F525" s="85"/>
      <c r="G525" s="50"/>
      <c r="H525" s="42"/>
      <c r="I525" s="49"/>
      <c r="J525" s="49"/>
    </row>
    <row r="526" spans="1:10" s="2" customFormat="1" ht="22.5" customHeight="1" x14ac:dyDescent="0.15">
      <c r="A526" s="23"/>
      <c r="B526" s="23"/>
      <c r="C526" s="23"/>
      <c r="D526" s="49"/>
      <c r="E526" s="49"/>
      <c r="F526" s="85"/>
      <c r="G526" s="50"/>
      <c r="H526" s="42"/>
      <c r="I526" s="49"/>
      <c r="J526" s="49"/>
    </row>
    <row r="527" spans="1:10" s="2" customFormat="1" ht="22.5" customHeight="1" x14ac:dyDescent="0.15">
      <c r="A527" s="23"/>
      <c r="B527" s="23"/>
      <c r="C527" s="23"/>
      <c r="D527" s="49"/>
      <c r="E527" s="49"/>
      <c r="F527" s="85"/>
      <c r="G527" s="50"/>
      <c r="H527" s="42"/>
      <c r="I527" s="49"/>
      <c r="J527" s="49"/>
    </row>
    <row r="528" spans="1:10" s="2" customFormat="1" ht="22.5" customHeight="1" x14ac:dyDescent="0.15">
      <c r="A528" s="23"/>
      <c r="B528" s="23"/>
      <c r="C528" s="23"/>
      <c r="D528" s="49"/>
      <c r="E528" s="49"/>
      <c r="F528" s="85"/>
      <c r="G528" s="50"/>
      <c r="H528" s="42"/>
      <c r="I528" s="49"/>
      <c r="J528" s="49"/>
    </row>
    <row r="529" spans="1:10" s="2" customFormat="1" ht="22.5" customHeight="1" x14ac:dyDescent="0.15">
      <c r="A529" s="23"/>
      <c r="B529" s="23"/>
      <c r="C529" s="23"/>
      <c r="D529" s="49"/>
      <c r="E529" s="49"/>
      <c r="F529" s="85"/>
      <c r="G529" s="50"/>
      <c r="H529" s="42"/>
      <c r="I529" s="49"/>
      <c r="J529" s="49"/>
    </row>
    <row r="530" spans="1:10" s="2" customFormat="1" ht="22.5" customHeight="1" x14ac:dyDescent="0.15">
      <c r="A530" s="23"/>
      <c r="B530" s="23"/>
      <c r="C530" s="23"/>
      <c r="D530" s="49"/>
      <c r="E530" s="49"/>
      <c r="F530" s="85"/>
      <c r="G530" s="50"/>
      <c r="H530" s="42"/>
      <c r="I530" s="49"/>
      <c r="J530" s="49"/>
    </row>
    <row r="531" spans="1:10" s="2" customFormat="1" ht="22.5" customHeight="1" x14ac:dyDescent="0.15">
      <c r="A531" s="23"/>
      <c r="B531" s="23"/>
      <c r="C531" s="23"/>
      <c r="D531" s="49"/>
      <c r="E531" s="49"/>
      <c r="F531" s="85"/>
      <c r="G531" s="50"/>
      <c r="H531" s="42"/>
      <c r="I531" s="49"/>
      <c r="J531" s="49"/>
    </row>
    <row r="532" spans="1:10" s="2" customFormat="1" ht="22.5" customHeight="1" x14ac:dyDescent="0.15">
      <c r="A532" s="23"/>
      <c r="B532" s="23"/>
      <c r="C532" s="23"/>
      <c r="D532" s="49"/>
      <c r="E532" s="49"/>
      <c r="F532" s="85"/>
      <c r="G532" s="50"/>
      <c r="H532" s="42"/>
      <c r="I532" s="49"/>
      <c r="J532" s="49"/>
    </row>
    <row r="533" spans="1:10" s="2" customFormat="1" ht="22.5" customHeight="1" x14ac:dyDescent="0.15">
      <c r="A533" s="23"/>
      <c r="B533" s="23"/>
      <c r="C533" s="23"/>
      <c r="D533" s="49"/>
      <c r="E533" s="49"/>
      <c r="F533" s="85"/>
      <c r="G533" s="50"/>
      <c r="H533" s="42"/>
      <c r="I533" s="49"/>
      <c r="J533" s="49"/>
    </row>
    <row r="534" spans="1:10" s="2" customFormat="1" ht="22.5" customHeight="1" x14ac:dyDescent="0.15">
      <c r="A534" s="23"/>
      <c r="B534" s="23"/>
      <c r="C534" s="23"/>
      <c r="D534" s="49"/>
      <c r="E534" s="49"/>
      <c r="F534" s="85"/>
      <c r="G534" s="50"/>
      <c r="H534" s="42"/>
      <c r="I534" s="49"/>
      <c r="J534" s="49"/>
    </row>
    <row r="535" spans="1:10" s="2" customFormat="1" ht="22.5" customHeight="1" x14ac:dyDescent="0.15">
      <c r="A535" s="23"/>
      <c r="B535" s="23"/>
      <c r="C535" s="23"/>
      <c r="D535" s="49"/>
      <c r="E535" s="49"/>
      <c r="F535" s="85"/>
      <c r="G535" s="50"/>
      <c r="H535" s="42"/>
      <c r="I535" s="49"/>
      <c r="J535" s="49"/>
    </row>
    <row r="536" spans="1:10" s="2" customFormat="1" ht="22.5" customHeight="1" x14ac:dyDescent="0.15">
      <c r="A536" s="23"/>
      <c r="B536" s="23"/>
      <c r="C536" s="23"/>
      <c r="D536" s="49"/>
      <c r="E536" s="49"/>
      <c r="F536" s="85"/>
      <c r="G536" s="50"/>
      <c r="H536" s="42"/>
      <c r="I536" s="49"/>
      <c r="J536" s="49"/>
    </row>
    <row r="537" spans="1:10" s="2" customFormat="1" ht="22.5" customHeight="1" x14ac:dyDescent="0.15">
      <c r="A537" s="23"/>
      <c r="B537" s="23"/>
      <c r="C537" s="23"/>
      <c r="D537" s="49"/>
      <c r="E537" s="49"/>
      <c r="F537" s="85"/>
      <c r="G537" s="50"/>
      <c r="H537" s="42"/>
      <c r="I537" s="49"/>
      <c r="J537" s="49"/>
    </row>
    <row r="538" spans="1:10" s="2" customFormat="1" ht="22.5" customHeight="1" x14ac:dyDescent="0.15">
      <c r="A538" s="23"/>
      <c r="B538" s="23"/>
      <c r="C538" s="23"/>
      <c r="D538" s="49"/>
      <c r="E538" s="49"/>
      <c r="F538" s="85"/>
      <c r="G538" s="50"/>
      <c r="H538" s="42"/>
      <c r="I538" s="49"/>
      <c r="J538" s="49"/>
    </row>
    <row r="539" spans="1:10" s="2" customFormat="1" ht="22.5" customHeight="1" x14ac:dyDescent="0.15">
      <c r="A539" s="23"/>
      <c r="B539" s="23"/>
      <c r="C539" s="23"/>
      <c r="D539" s="49"/>
      <c r="E539" s="49"/>
      <c r="F539" s="85"/>
      <c r="G539" s="50"/>
      <c r="H539" s="42"/>
      <c r="I539" s="49"/>
      <c r="J539" s="49"/>
    </row>
    <row r="540" spans="1:10" s="2" customFormat="1" ht="22.5" customHeight="1" x14ac:dyDescent="0.15">
      <c r="A540" s="23"/>
      <c r="B540" s="23"/>
      <c r="C540" s="23"/>
      <c r="D540" s="49"/>
      <c r="E540" s="49"/>
      <c r="F540" s="85"/>
      <c r="G540" s="50"/>
      <c r="H540" s="42"/>
      <c r="I540" s="49"/>
      <c r="J540" s="49"/>
    </row>
    <row r="541" spans="1:10" s="2" customFormat="1" ht="22.5" customHeight="1" x14ac:dyDescent="0.15">
      <c r="A541" s="23"/>
      <c r="B541" s="23"/>
      <c r="C541" s="23"/>
      <c r="D541" s="49"/>
      <c r="E541" s="49"/>
      <c r="F541" s="85"/>
      <c r="G541" s="50"/>
      <c r="H541" s="42"/>
      <c r="I541" s="49"/>
      <c r="J541" s="49"/>
    </row>
    <row r="542" spans="1:10" s="2" customFormat="1" ht="22.5" customHeight="1" x14ac:dyDescent="0.15">
      <c r="A542" s="23"/>
      <c r="B542" s="23"/>
      <c r="C542" s="23"/>
      <c r="D542" s="49"/>
      <c r="E542" s="49"/>
      <c r="F542" s="85"/>
      <c r="G542" s="50"/>
      <c r="H542" s="42"/>
      <c r="I542" s="49"/>
      <c r="J542" s="49"/>
    </row>
    <row r="543" spans="1:10" s="2" customFormat="1" ht="22.5" customHeight="1" x14ac:dyDescent="0.15">
      <c r="A543" s="23"/>
      <c r="B543" s="23"/>
      <c r="C543" s="23"/>
      <c r="D543" s="49"/>
      <c r="E543" s="49"/>
      <c r="F543" s="85"/>
      <c r="G543" s="50"/>
      <c r="H543" s="42"/>
      <c r="I543" s="49"/>
      <c r="J543" s="49"/>
    </row>
    <row r="544" spans="1:10" s="2" customFormat="1" ht="22.5" customHeight="1" x14ac:dyDescent="0.15">
      <c r="A544" s="23"/>
      <c r="B544" s="23"/>
      <c r="C544" s="23"/>
      <c r="D544" s="49"/>
      <c r="E544" s="49"/>
      <c r="F544" s="85"/>
      <c r="G544" s="50"/>
      <c r="H544" s="42"/>
      <c r="I544" s="49"/>
      <c r="J544" s="49"/>
    </row>
    <row r="545" spans="1:10" s="2" customFormat="1" ht="22.5" customHeight="1" x14ac:dyDescent="0.15">
      <c r="A545" s="23"/>
      <c r="B545" s="23"/>
      <c r="C545" s="23"/>
      <c r="D545" s="49"/>
      <c r="E545" s="49"/>
      <c r="F545" s="85"/>
      <c r="G545" s="50"/>
      <c r="H545" s="42"/>
      <c r="I545" s="49"/>
      <c r="J545" s="49"/>
    </row>
    <row r="546" spans="1:10" s="2" customFormat="1" ht="22.5" customHeight="1" x14ac:dyDescent="0.15">
      <c r="A546" s="23"/>
      <c r="B546" s="23"/>
      <c r="C546" s="23"/>
      <c r="D546" s="49"/>
      <c r="E546" s="49"/>
      <c r="F546" s="85"/>
      <c r="G546" s="50"/>
      <c r="H546" s="42"/>
      <c r="I546" s="49"/>
      <c r="J546" s="49"/>
    </row>
    <row r="547" spans="1:10" s="2" customFormat="1" ht="22.5" customHeight="1" x14ac:dyDescent="0.15">
      <c r="A547" s="23"/>
      <c r="B547" s="23"/>
      <c r="C547" s="23"/>
      <c r="D547" s="49"/>
      <c r="E547" s="49"/>
      <c r="F547" s="85"/>
      <c r="G547" s="50"/>
      <c r="H547" s="42"/>
      <c r="I547" s="49"/>
      <c r="J547" s="49"/>
    </row>
    <row r="548" spans="1:10" s="2" customFormat="1" ht="22.5" customHeight="1" x14ac:dyDescent="0.15">
      <c r="A548" s="23"/>
      <c r="B548" s="23"/>
      <c r="C548" s="23"/>
      <c r="D548" s="49"/>
      <c r="E548" s="49"/>
      <c r="F548" s="85"/>
      <c r="G548" s="50"/>
      <c r="H548" s="42"/>
      <c r="I548" s="49"/>
      <c r="J548" s="49"/>
    </row>
    <row r="549" spans="1:10" s="2" customFormat="1" ht="22.5" customHeight="1" x14ac:dyDescent="0.15">
      <c r="A549" s="23"/>
      <c r="B549" s="23"/>
      <c r="C549" s="23"/>
      <c r="D549" s="49"/>
      <c r="E549" s="49"/>
      <c r="F549" s="85"/>
      <c r="G549" s="50"/>
      <c r="H549" s="42"/>
      <c r="I549" s="49"/>
      <c r="J549" s="49"/>
    </row>
    <row r="550" spans="1:10" s="2" customFormat="1" ht="22.5" customHeight="1" x14ac:dyDescent="0.15">
      <c r="A550" s="23"/>
      <c r="B550" s="23"/>
      <c r="C550" s="23"/>
      <c r="D550" s="49"/>
      <c r="E550" s="49"/>
      <c r="F550" s="85"/>
      <c r="G550" s="50"/>
      <c r="H550" s="42"/>
      <c r="I550" s="49"/>
      <c r="J550" s="49"/>
    </row>
    <row r="551" spans="1:10" s="2" customFormat="1" ht="22.5" customHeight="1" x14ac:dyDescent="0.15">
      <c r="A551" s="23"/>
      <c r="B551" s="23"/>
      <c r="C551" s="23"/>
      <c r="D551" s="49"/>
      <c r="E551" s="49"/>
      <c r="F551" s="85"/>
      <c r="G551" s="50"/>
      <c r="H551" s="42"/>
      <c r="I551" s="49"/>
      <c r="J551" s="49"/>
    </row>
    <row r="552" spans="1:10" s="2" customFormat="1" ht="22.5" customHeight="1" x14ac:dyDescent="0.15">
      <c r="A552" s="23"/>
      <c r="B552" s="23"/>
      <c r="C552" s="23"/>
      <c r="D552" s="49"/>
      <c r="E552" s="49"/>
      <c r="F552" s="85"/>
      <c r="G552" s="50"/>
      <c r="H552" s="42"/>
      <c r="I552" s="49"/>
      <c r="J552" s="49"/>
    </row>
    <row r="553" spans="1:10" s="2" customFormat="1" ht="22.5" customHeight="1" x14ac:dyDescent="0.15">
      <c r="A553" s="23"/>
      <c r="B553" s="23"/>
      <c r="C553" s="23"/>
      <c r="D553" s="49"/>
      <c r="E553" s="49"/>
      <c r="F553" s="85"/>
      <c r="G553" s="50"/>
      <c r="H553" s="42"/>
      <c r="I553" s="49"/>
      <c r="J553" s="49"/>
    </row>
    <row r="554" spans="1:10" s="2" customFormat="1" ht="22.5" customHeight="1" x14ac:dyDescent="0.15">
      <c r="A554" s="23"/>
      <c r="B554" s="23"/>
      <c r="C554" s="23"/>
      <c r="D554" s="49"/>
      <c r="E554" s="49"/>
      <c r="F554" s="85"/>
      <c r="G554" s="50"/>
      <c r="H554" s="42"/>
      <c r="I554" s="49"/>
      <c r="J554" s="49"/>
    </row>
    <row r="555" spans="1:10" s="2" customFormat="1" ht="22.5" customHeight="1" x14ac:dyDescent="0.15">
      <c r="A555" s="23"/>
      <c r="B555" s="23"/>
      <c r="C555" s="23"/>
      <c r="D555" s="49"/>
      <c r="E555" s="49"/>
      <c r="F555" s="85"/>
      <c r="G555" s="50"/>
      <c r="H555" s="42"/>
      <c r="I555" s="49"/>
      <c r="J555" s="49"/>
    </row>
    <row r="556" spans="1:10" s="2" customFormat="1" ht="22.5" customHeight="1" x14ac:dyDescent="0.15">
      <c r="A556" s="23"/>
      <c r="B556" s="23"/>
      <c r="C556" s="23"/>
      <c r="D556" s="49"/>
      <c r="E556" s="49"/>
      <c r="F556" s="85"/>
      <c r="G556" s="50"/>
      <c r="H556" s="42"/>
      <c r="I556" s="49"/>
      <c r="J556" s="49"/>
    </row>
    <row r="557" spans="1:10" s="2" customFormat="1" ht="22.5" customHeight="1" x14ac:dyDescent="0.15">
      <c r="A557" s="23"/>
      <c r="B557" s="23"/>
      <c r="C557" s="23"/>
      <c r="D557" s="49"/>
      <c r="E557" s="49"/>
      <c r="F557" s="85"/>
      <c r="G557" s="50"/>
      <c r="H557" s="42"/>
      <c r="I557" s="49"/>
      <c r="J557" s="49"/>
    </row>
    <row r="558" spans="1:10" s="2" customFormat="1" ht="22.5" customHeight="1" x14ac:dyDescent="0.15">
      <c r="A558" s="23"/>
      <c r="B558" s="23"/>
      <c r="C558" s="23"/>
      <c r="D558" s="49"/>
      <c r="E558" s="49"/>
      <c r="F558" s="85"/>
      <c r="G558" s="50"/>
      <c r="H558" s="42"/>
      <c r="I558" s="49"/>
      <c r="J558" s="49"/>
    </row>
    <row r="559" spans="1:10" s="2" customFormat="1" ht="22.5" customHeight="1" x14ac:dyDescent="0.15">
      <c r="A559" s="23"/>
      <c r="B559" s="23"/>
      <c r="C559" s="23"/>
      <c r="D559" s="49"/>
      <c r="E559" s="49"/>
      <c r="F559" s="85"/>
      <c r="G559" s="50"/>
      <c r="H559" s="42"/>
      <c r="I559" s="49"/>
      <c r="J559" s="49"/>
    </row>
    <row r="560" spans="1:10" s="2" customFormat="1" ht="22.5" customHeight="1" x14ac:dyDescent="0.15">
      <c r="A560" s="23"/>
      <c r="B560" s="23"/>
      <c r="C560" s="23"/>
      <c r="D560" s="49"/>
      <c r="E560" s="49"/>
      <c r="F560" s="85"/>
      <c r="G560" s="50"/>
      <c r="H560" s="42"/>
      <c r="I560" s="49"/>
      <c r="J560" s="49"/>
    </row>
    <row r="561" spans="1:10" s="2" customFormat="1" ht="22.5" customHeight="1" x14ac:dyDescent="0.15">
      <c r="A561" s="23"/>
      <c r="B561" s="23"/>
      <c r="C561" s="23"/>
      <c r="D561" s="49"/>
      <c r="E561" s="49"/>
      <c r="F561" s="85"/>
      <c r="G561" s="50"/>
      <c r="H561" s="42"/>
      <c r="I561" s="49"/>
      <c r="J561" s="49"/>
    </row>
    <row r="562" spans="1:10" s="2" customFormat="1" ht="22.5" customHeight="1" x14ac:dyDescent="0.15">
      <c r="A562" s="23"/>
      <c r="B562" s="23"/>
      <c r="C562" s="23"/>
      <c r="D562" s="49"/>
      <c r="E562" s="49"/>
      <c r="F562" s="85"/>
      <c r="G562" s="50"/>
      <c r="H562" s="42"/>
      <c r="I562" s="49"/>
      <c r="J562" s="49"/>
    </row>
    <row r="563" spans="1:10" s="2" customFormat="1" ht="22.5" customHeight="1" x14ac:dyDescent="0.15">
      <c r="A563" s="23"/>
      <c r="B563" s="23"/>
      <c r="C563" s="23"/>
      <c r="D563" s="49"/>
      <c r="E563" s="49"/>
      <c r="F563" s="85"/>
      <c r="G563" s="50"/>
      <c r="H563" s="42"/>
      <c r="I563" s="49"/>
      <c r="J563" s="49"/>
    </row>
    <row r="564" spans="1:10" s="2" customFormat="1" ht="22.5" customHeight="1" x14ac:dyDescent="0.15">
      <c r="A564" s="23"/>
      <c r="B564" s="23"/>
      <c r="C564" s="23"/>
      <c r="D564" s="49"/>
      <c r="E564" s="49"/>
      <c r="F564" s="85"/>
      <c r="G564" s="50"/>
      <c r="H564" s="42"/>
      <c r="I564" s="49"/>
      <c r="J564" s="49"/>
    </row>
    <row r="565" spans="1:10" s="2" customFormat="1" ht="22.5" customHeight="1" x14ac:dyDescent="0.15">
      <c r="A565" s="23"/>
      <c r="B565" s="23"/>
      <c r="C565" s="23"/>
      <c r="D565" s="49"/>
      <c r="E565" s="49"/>
      <c r="F565" s="85"/>
      <c r="G565" s="50"/>
      <c r="H565" s="42"/>
      <c r="I565" s="49"/>
      <c r="J565" s="49"/>
    </row>
    <row r="566" spans="1:10" s="2" customFormat="1" ht="22.5" customHeight="1" x14ac:dyDescent="0.15">
      <c r="A566" s="23"/>
      <c r="B566" s="23"/>
      <c r="C566" s="23"/>
      <c r="D566" s="49"/>
      <c r="E566" s="49"/>
      <c r="F566" s="85"/>
      <c r="G566" s="50"/>
      <c r="H566" s="42"/>
      <c r="I566" s="49"/>
      <c r="J566" s="49"/>
    </row>
    <row r="567" spans="1:10" s="2" customFormat="1" ht="22.5" customHeight="1" x14ac:dyDescent="0.15">
      <c r="A567" s="23"/>
      <c r="B567" s="23"/>
      <c r="C567" s="23"/>
      <c r="D567" s="49"/>
      <c r="E567" s="49"/>
      <c r="F567" s="85"/>
      <c r="G567" s="50"/>
      <c r="H567" s="42"/>
      <c r="I567" s="49"/>
      <c r="J567" s="49"/>
    </row>
    <row r="568" spans="1:10" s="2" customFormat="1" ht="22.5" customHeight="1" x14ac:dyDescent="0.15">
      <c r="A568" s="23"/>
      <c r="B568" s="23"/>
      <c r="C568" s="23"/>
      <c r="D568" s="49"/>
      <c r="E568" s="49"/>
      <c r="F568" s="85"/>
      <c r="G568" s="50"/>
      <c r="H568" s="42"/>
      <c r="I568" s="49"/>
      <c r="J568" s="49"/>
    </row>
    <row r="569" spans="1:10" s="2" customFormat="1" ht="22.5" customHeight="1" x14ac:dyDescent="0.15">
      <c r="A569" s="23"/>
      <c r="B569" s="23"/>
      <c r="C569" s="23"/>
      <c r="D569" s="49"/>
      <c r="E569" s="49"/>
      <c r="F569" s="85"/>
      <c r="G569" s="50"/>
      <c r="H569" s="42"/>
      <c r="I569" s="49"/>
      <c r="J569" s="49"/>
    </row>
    <row r="570" spans="1:10" s="2" customFormat="1" ht="22.5" customHeight="1" x14ac:dyDescent="0.15">
      <c r="A570" s="23"/>
      <c r="B570" s="23"/>
      <c r="C570" s="23"/>
      <c r="D570" s="49"/>
      <c r="E570" s="49"/>
      <c r="F570" s="85"/>
      <c r="G570" s="50"/>
      <c r="H570" s="42"/>
      <c r="I570" s="49"/>
      <c r="J570" s="49"/>
    </row>
    <row r="571" spans="1:10" s="2" customFormat="1" ht="22.5" customHeight="1" x14ac:dyDescent="0.15">
      <c r="A571" s="23"/>
      <c r="B571" s="23"/>
      <c r="C571" s="23"/>
      <c r="D571" s="49"/>
      <c r="E571" s="49"/>
      <c r="F571" s="85"/>
      <c r="G571" s="50"/>
      <c r="H571" s="42"/>
      <c r="I571" s="49"/>
      <c r="J571" s="49"/>
    </row>
    <row r="572" spans="1:10" s="2" customFormat="1" ht="22.5" customHeight="1" x14ac:dyDescent="0.15">
      <c r="A572" s="23"/>
      <c r="B572" s="23"/>
      <c r="C572" s="23"/>
      <c r="D572" s="49"/>
      <c r="E572" s="49"/>
      <c r="F572" s="85"/>
      <c r="G572" s="50"/>
      <c r="H572" s="42"/>
      <c r="I572" s="49"/>
      <c r="J572" s="49"/>
    </row>
    <row r="573" spans="1:10" s="2" customFormat="1" ht="22.5" customHeight="1" x14ac:dyDescent="0.15">
      <c r="A573" s="23"/>
      <c r="B573" s="23"/>
      <c r="C573" s="23"/>
      <c r="D573" s="49"/>
      <c r="E573" s="49"/>
      <c r="F573" s="85"/>
      <c r="G573" s="50"/>
      <c r="H573" s="42"/>
      <c r="I573" s="49"/>
      <c r="J573" s="49"/>
    </row>
    <row r="574" spans="1:10" s="2" customFormat="1" ht="22.5" customHeight="1" x14ac:dyDescent="0.15">
      <c r="A574" s="23"/>
      <c r="B574" s="23"/>
      <c r="C574" s="23"/>
      <c r="D574" s="49"/>
      <c r="E574" s="49"/>
      <c r="F574" s="85"/>
      <c r="G574" s="50"/>
      <c r="H574" s="42"/>
      <c r="I574" s="49"/>
      <c r="J574" s="49"/>
    </row>
    <row r="575" spans="1:10" s="2" customFormat="1" ht="22.5" customHeight="1" x14ac:dyDescent="0.15">
      <c r="A575" s="23"/>
      <c r="B575" s="23"/>
      <c r="C575" s="23"/>
      <c r="D575" s="49"/>
      <c r="E575" s="49"/>
      <c r="F575" s="85"/>
      <c r="G575" s="50"/>
      <c r="H575" s="42"/>
      <c r="I575" s="49"/>
      <c r="J575" s="49"/>
    </row>
    <row r="576" spans="1:10" s="2" customFormat="1" ht="22.5" customHeight="1" x14ac:dyDescent="0.15">
      <c r="A576" s="23"/>
      <c r="B576" s="23"/>
      <c r="C576" s="23"/>
      <c r="D576" s="49"/>
      <c r="E576" s="49"/>
      <c r="F576" s="85"/>
      <c r="G576" s="50"/>
      <c r="H576" s="42"/>
      <c r="I576" s="49"/>
      <c r="J576" s="49"/>
    </row>
    <row r="577" spans="1:10" s="2" customFormat="1" ht="22.5" customHeight="1" x14ac:dyDescent="0.15">
      <c r="A577" s="23"/>
      <c r="B577" s="23"/>
      <c r="C577" s="23"/>
      <c r="D577" s="49"/>
      <c r="E577" s="49"/>
      <c r="F577" s="85"/>
      <c r="G577" s="50"/>
      <c r="H577" s="42"/>
      <c r="I577" s="49"/>
      <c r="J577" s="49"/>
    </row>
    <row r="578" spans="1:10" s="2" customFormat="1" ht="22.5" customHeight="1" x14ac:dyDescent="0.15">
      <c r="A578" s="23"/>
      <c r="B578" s="23"/>
      <c r="C578" s="23"/>
      <c r="D578" s="49"/>
      <c r="E578" s="49"/>
      <c r="F578" s="85"/>
      <c r="G578" s="50"/>
      <c r="H578" s="42"/>
      <c r="I578" s="49"/>
      <c r="J578" s="49"/>
    </row>
    <row r="579" spans="1:10" s="2" customFormat="1" ht="22.5" customHeight="1" x14ac:dyDescent="0.15">
      <c r="A579" s="23"/>
      <c r="B579" s="23"/>
      <c r="C579" s="23"/>
      <c r="D579" s="49"/>
      <c r="E579" s="49"/>
      <c r="F579" s="85"/>
      <c r="G579" s="50"/>
      <c r="H579" s="42"/>
      <c r="I579" s="49"/>
      <c r="J579" s="49"/>
    </row>
    <row r="580" spans="1:10" s="2" customFormat="1" ht="22.5" customHeight="1" x14ac:dyDescent="0.15">
      <c r="A580" s="23"/>
      <c r="B580" s="23"/>
      <c r="C580" s="23"/>
      <c r="D580" s="49"/>
      <c r="E580" s="49"/>
      <c r="F580" s="85"/>
      <c r="G580" s="50"/>
      <c r="H580" s="42"/>
      <c r="I580" s="49"/>
      <c r="J580" s="49"/>
    </row>
    <row r="581" spans="1:10" s="2" customFormat="1" ht="22.5" customHeight="1" x14ac:dyDescent="0.15">
      <c r="A581" s="23"/>
      <c r="B581" s="23"/>
      <c r="C581" s="23"/>
      <c r="D581" s="49"/>
      <c r="E581" s="49"/>
      <c r="F581" s="85"/>
      <c r="G581" s="50"/>
      <c r="H581" s="42"/>
      <c r="I581" s="49"/>
      <c r="J581" s="49"/>
    </row>
    <row r="582" spans="1:10" s="2" customFormat="1" ht="22.5" customHeight="1" x14ac:dyDescent="0.15">
      <c r="A582" s="23"/>
      <c r="B582" s="23"/>
      <c r="C582" s="23"/>
      <c r="D582" s="49"/>
      <c r="E582" s="49"/>
      <c r="F582" s="85"/>
      <c r="G582" s="50"/>
      <c r="H582" s="42"/>
      <c r="I582" s="49"/>
      <c r="J582" s="49"/>
    </row>
    <row r="583" spans="1:10" s="2" customFormat="1" ht="22.5" customHeight="1" x14ac:dyDescent="0.15">
      <c r="A583" s="23"/>
      <c r="B583" s="23"/>
      <c r="C583" s="23"/>
      <c r="D583" s="49"/>
      <c r="E583" s="49"/>
      <c r="F583" s="85"/>
      <c r="G583" s="50"/>
      <c r="H583" s="42"/>
      <c r="I583" s="49"/>
      <c r="J583" s="49"/>
    </row>
    <row r="584" spans="1:10" s="2" customFormat="1" ht="22.5" customHeight="1" x14ac:dyDescent="0.15">
      <c r="A584" s="23"/>
      <c r="B584" s="23"/>
      <c r="C584" s="23"/>
      <c r="D584" s="49"/>
      <c r="E584" s="49"/>
      <c r="F584" s="85"/>
      <c r="G584" s="50"/>
      <c r="H584" s="42"/>
      <c r="I584" s="49"/>
      <c r="J584" s="49"/>
    </row>
    <row r="585" spans="1:10" s="2" customFormat="1" ht="22.5" customHeight="1" x14ac:dyDescent="0.15">
      <c r="A585" s="23"/>
      <c r="B585" s="23"/>
      <c r="C585" s="23"/>
      <c r="D585" s="49"/>
      <c r="E585" s="49"/>
      <c r="F585" s="85"/>
      <c r="G585" s="50"/>
      <c r="H585" s="42"/>
      <c r="I585" s="49"/>
      <c r="J585" s="49"/>
    </row>
    <row r="586" spans="1:10" s="2" customFormat="1" ht="22.5" customHeight="1" x14ac:dyDescent="0.15">
      <c r="A586" s="23"/>
      <c r="B586" s="23"/>
      <c r="C586" s="23"/>
      <c r="D586" s="49"/>
      <c r="E586" s="49"/>
      <c r="F586" s="85"/>
      <c r="G586" s="50"/>
      <c r="H586" s="42"/>
      <c r="I586" s="49"/>
      <c r="J586" s="49"/>
    </row>
    <row r="587" spans="1:10" s="2" customFormat="1" ht="22.5" customHeight="1" x14ac:dyDescent="0.15">
      <c r="A587" s="23"/>
      <c r="B587" s="23"/>
      <c r="C587" s="23"/>
      <c r="D587" s="49"/>
      <c r="E587" s="49"/>
      <c r="F587" s="85"/>
      <c r="G587" s="50"/>
      <c r="H587" s="42"/>
      <c r="I587" s="49"/>
      <c r="J587" s="49"/>
    </row>
    <row r="588" spans="1:10" s="2" customFormat="1" ht="22.5" customHeight="1" x14ac:dyDescent="0.15">
      <c r="A588" s="23"/>
      <c r="B588" s="23"/>
      <c r="C588" s="23"/>
      <c r="D588" s="49"/>
      <c r="E588" s="49"/>
      <c r="F588" s="85"/>
      <c r="G588" s="50"/>
      <c r="H588" s="42"/>
      <c r="I588" s="49"/>
      <c r="J588" s="49"/>
    </row>
    <row r="589" spans="1:10" s="2" customFormat="1" ht="22.5" customHeight="1" x14ac:dyDescent="0.15">
      <c r="A589" s="23"/>
      <c r="B589" s="23"/>
      <c r="C589" s="23"/>
      <c r="D589" s="49"/>
      <c r="E589" s="49"/>
      <c r="F589" s="85"/>
      <c r="G589" s="50"/>
      <c r="H589" s="42"/>
      <c r="I589" s="49"/>
      <c r="J589" s="49"/>
    </row>
    <row r="590" spans="1:10" s="2" customFormat="1" ht="22.5" customHeight="1" x14ac:dyDescent="0.15">
      <c r="A590" s="23"/>
      <c r="B590" s="23"/>
      <c r="C590" s="23"/>
      <c r="D590" s="49"/>
      <c r="E590" s="49"/>
      <c r="F590" s="85"/>
      <c r="G590" s="50"/>
      <c r="H590" s="42"/>
      <c r="I590" s="49"/>
      <c r="J590" s="49"/>
    </row>
    <row r="591" spans="1:10" s="2" customFormat="1" ht="22.5" customHeight="1" x14ac:dyDescent="0.15">
      <c r="A591" s="23"/>
      <c r="B591" s="23"/>
      <c r="C591" s="23"/>
      <c r="D591" s="49"/>
      <c r="E591" s="49"/>
      <c r="F591" s="85"/>
      <c r="G591" s="50"/>
      <c r="H591" s="42"/>
      <c r="I591" s="49"/>
      <c r="J591" s="49"/>
    </row>
    <row r="592" spans="1:10" s="2" customFormat="1" ht="22.5" customHeight="1" x14ac:dyDescent="0.15">
      <c r="A592" s="23"/>
      <c r="B592" s="23"/>
      <c r="C592" s="23"/>
      <c r="D592" s="49"/>
      <c r="E592" s="49"/>
      <c r="F592" s="85"/>
      <c r="G592" s="50"/>
      <c r="H592" s="42"/>
      <c r="I592" s="49"/>
      <c r="J592" s="49"/>
    </row>
    <row r="593" spans="1:10" s="2" customFormat="1" ht="22.5" customHeight="1" x14ac:dyDescent="0.15">
      <c r="A593" s="23"/>
      <c r="B593" s="23"/>
      <c r="C593" s="23"/>
      <c r="D593" s="49"/>
      <c r="E593" s="49"/>
      <c r="F593" s="85"/>
      <c r="G593" s="50"/>
      <c r="H593" s="42"/>
      <c r="I593" s="49"/>
      <c r="J593" s="49"/>
    </row>
    <row r="594" spans="1:10" s="2" customFormat="1" ht="22.5" customHeight="1" x14ac:dyDescent="0.15">
      <c r="A594" s="23"/>
      <c r="B594" s="23"/>
      <c r="C594" s="23"/>
      <c r="D594" s="49"/>
      <c r="E594" s="49"/>
      <c r="F594" s="85"/>
      <c r="G594" s="50"/>
      <c r="H594" s="42"/>
      <c r="I594" s="49"/>
      <c r="J594" s="49"/>
    </row>
    <row r="595" spans="1:10" s="2" customFormat="1" ht="22.5" customHeight="1" x14ac:dyDescent="0.15">
      <c r="A595" s="23"/>
      <c r="B595" s="23"/>
      <c r="C595" s="23"/>
      <c r="D595" s="49"/>
      <c r="E595" s="49"/>
      <c r="F595" s="85"/>
      <c r="G595" s="50"/>
      <c r="H595" s="42"/>
      <c r="I595" s="49"/>
      <c r="J595" s="49"/>
    </row>
    <row r="596" spans="1:10" s="2" customFormat="1" ht="22.5" customHeight="1" x14ac:dyDescent="0.15">
      <c r="A596" s="23"/>
      <c r="B596" s="23"/>
      <c r="C596" s="23"/>
      <c r="D596" s="49"/>
      <c r="E596" s="49"/>
      <c r="F596" s="85"/>
      <c r="G596" s="50"/>
      <c r="H596" s="42"/>
      <c r="I596" s="49"/>
      <c r="J596" s="49"/>
    </row>
    <row r="597" spans="1:10" s="2" customFormat="1" ht="22.5" customHeight="1" x14ac:dyDescent="0.15">
      <c r="A597" s="23"/>
      <c r="B597" s="23"/>
      <c r="C597" s="23"/>
      <c r="D597" s="49"/>
      <c r="E597" s="49"/>
      <c r="F597" s="85"/>
      <c r="G597" s="50"/>
      <c r="H597" s="42"/>
      <c r="I597" s="49"/>
      <c r="J597" s="49"/>
    </row>
    <row r="598" spans="1:10" s="2" customFormat="1" ht="22.5" customHeight="1" x14ac:dyDescent="0.15">
      <c r="A598" s="23"/>
      <c r="B598" s="23"/>
      <c r="C598" s="23"/>
      <c r="D598" s="49"/>
      <c r="E598" s="49"/>
      <c r="F598" s="85"/>
      <c r="G598" s="50"/>
      <c r="H598" s="42"/>
      <c r="I598" s="49"/>
      <c r="J598" s="49"/>
    </row>
    <row r="599" spans="1:10" s="2" customFormat="1" ht="22.5" customHeight="1" x14ac:dyDescent="0.15">
      <c r="A599" s="23"/>
      <c r="B599" s="23"/>
      <c r="C599" s="23"/>
      <c r="D599" s="49"/>
      <c r="E599" s="49"/>
      <c r="F599" s="85"/>
      <c r="G599" s="50"/>
      <c r="H599" s="42"/>
      <c r="I599" s="49"/>
      <c r="J599" s="49"/>
    </row>
    <row r="600" spans="1:10" s="2" customFormat="1" ht="22.5" customHeight="1" x14ac:dyDescent="0.15">
      <c r="A600" s="23"/>
      <c r="B600" s="23"/>
      <c r="C600" s="23"/>
      <c r="D600" s="49"/>
      <c r="E600" s="49"/>
      <c r="F600" s="85"/>
      <c r="G600" s="50"/>
      <c r="H600" s="42"/>
      <c r="I600" s="49"/>
      <c r="J600" s="49"/>
    </row>
    <row r="601" spans="1:10" s="2" customFormat="1" ht="22.5" customHeight="1" x14ac:dyDescent="0.15">
      <c r="A601" s="23"/>
      <c r="B601" s="23"/>
      <c r="C601" s="23"/>
      <c r="D601" s="49"/>
      <c r="E601" s="49"/>
      <c r="F601" s="85"/>
      <c r="G601" s="50"/>
      <c r="H601" s="42"/>
      <c r="I601" s="49"/>
      <c r="J601" s="49"/>
    </row>
    <row r="602" spans="1:10" s="2" customFormat="1" ht="22.5" customHeight="1" x14ac:dyDescent="0.15">
      <c r="A602" s="23"/>
      <c r="B602" s="23"/>
      <c r="C602" s="23"/>
      <c r="D602" s="49"/>
      <c r="E602" s="49"/>
      <c r="F602" s="85"/>
      <c r="G602" s="50"/>
      <c r="H602" s="42"/>
      <c r="I602" s="49"/>
      <c r="J602" s="49"/>
    </row>
    <row r="603" spans="1:10" s="2" customFormat="1" ht="22.5" customHeight="1" x14ac:dyDescent="0.15">
      <c r="A603" s="23"/>
      <c r="B603" s="23"/>
      <c r="C603" s="23"/>
      <c r="D603" s="49"/>
      <c r="E603" s="49"/>
      <c r="F603" s="85"/>
      <c r="G603" s="50"/>
      <c r="H603" s="42"/>
      <c r="I603" s="49"/>
      <c r="J603" s="49"/>
    </row>
    <row r="604" spans="1:10" s="2" customFormat="1" ht="22.5" customHeight="1" x14ac:dyDescent="0.15">
      <c r="A604" s="23"/>
      <c r="B604" s="23"/>
      <c r="C604" s="23"/>
      <c r="D604" s="49"/>
      <c r="E604" s="49"/>
      <c r="F604" s="85"/>
      <c r="G604" s="50"/>
      <c r="H604" s="42"/>
      <c r="I604" s="49"/>
      <c r="J604" s="49"/>
    </row>
    <row r="605" spans="1:10" s="2" customFormat="1" ht="22.5" customHeight="1" x14ac:dyDescent="0.15">
      <c r="A605" s="23"/>
      <c r="B605" s="23"/>
      <c r="C605" s="23"/>
      <c r="D605" s="49"/>
      <c r="E605" s="49"/>
      <c r="F605" s="85"/>
      <c r="G605" s="50"/>
      <c r="H605" s="42"/>
      <c r="I605" s="49"/>
      <c r="J605" s="49"/>
    </row>
    <row r="606" spans="1:10" s="2" customFormat="1" ht="22.5" customHeight="1" x14ac:dyDescent="0.15">
      <c r="A606" s="23"/>
      <c r="B606" s="23"/>
      <c r="C606" s="23"/>
      <c r="D606" s="49"/>
      <c r="E606" s="49"/>
      <c r="F606" s="85"/>
      <c r="G606" s="50"/>
      <c r="H606" s="42"/>
      <c r="I606" s="49"/>
      <c r="J606" s="49"/>
    </row>
    <row r="607" spans="1:10" s="2" customFormat="1" ht="22.5" customHeight="1" x14ac:dyDescent="0.15">
      <c r="A607" s="23"/>
      <c r="B607" s="23"/>
      <c r="C607" s="23"/>
      <c r="D607" s="49"/>
      <c r="E607" s="49"/>
      <c r="F607" s="85"/>
      <c r="G607" s="50"/>
      <c r="H607" s="42"/>
      <c r="I607" s="49"/>
      <c r="J607" s="49"/>
    </row>
    <row r="608" spans="1:10" s="2" customFormat="1" ht="22.5" customHeight="1" x14ac:dyDescent="0.15">
      <c r="A608" s="23"/>
      <c r="B608" s="23"/>
      <c r="C608" s="23"/>
      <c r="D608" s="49"/>
      <c r="E608" s="49"/>
      <c r="F608" s="85"/>
      <c r="G608" s="50"/>
      <c r="H608" s="42"/>
      <c r="I608" s="49"/>
      <c r="J608" s="49"/>
    </row>
    <row r="609" spans="1:10" s="2" customFormat="1" ht="22.5" customHeight="1" x14ac:dyDescent="0.15">
      <c r="A609" s="23"/>
      <c r="B609" s="23"/>
      <c r="C609" s="23"/>
      <c r="D609" s="49"/>
      <c r="E609" s="49"/>
      <c r="F609" s="85"/>
      <c r="G609" s="50"/>
      <c r="H609" s="42"/>
      <c r="I609" s="49"/>
      <c r="J609" s="49"/>
    </row>
    <row r="610" spans="1:10" s="2" customFormat="1" ht="22.5" customHeight="1" x14ac:dyDescent="0.15">
      <c r="A610" s="23"/>
      <c r="B610" s="23"/>
      <c r="C610" s="23"/>
      <c r="D610" s="49"/>
      <c r="E610" s="49"/>
      <c r="F610" s="85"/>
      <c r="G610" s="50"/>
      <c r="H610" s="42"/>
      <c r="I610" s="49"/>
      <c r="J610" s="49"/>
    </row>
    <row r="611" spans="1:10" s="2" customFormat="1" ht="22.5" customHeight="1" x14ac:dyDescent="0.15">
      <c r="A611" s="23"/>
      <c r="B611" s="23"/>
      <c r="C611" s="23"/>
      <c r="D611" s="49"/>
      <c r="E611" s="49"/>
      <c r="F611" s="85"/>
      <c r="G611" s="50"/>
      <c r="H611" s="42"/>
      <c r="I611" s="49"/>
      <c r="J611" s="49"/>
    </row>
    <row r="612" spans="1:10" s="2" customFormat="1" ht="22.5" customHeight="1" x14ac:dyDescent="0.15">
      <c r="A612" s="23"/>
      <c r="B612" s="23"/>
      <c r="C612" s="23"/>
      <c r="D612" s="49"/>
      <c r="E612" s="49"/>
      <c r="F612" s="85"/>
      <c r="G612" s="50"/>
      <c r="H612" s="42"/>
      <c r="I612" s="49"/>
      <c r="J612" s="49"/>
    </row>
    <row r="613" spans="1:10" s="2" customFormat="1" ht="22.5" customHeight="1" x14ac:dyDescent="0.15">
      <c r="A613" s="23"/>
      <c r="B613" s="23"/>
      <c r="C613" s="23"/>
      <c r="D613" s="49"/>
      <c r="E613" s="49"/>
      <c r="F613" s="85"/>
      <c r="G613" s="50"/>
      <c r="H613" s="42"/>
      <c r="I613" s="49"/>
      <c r="J613" s="49"/>
    </row>
    <row r="614" spans="1:10" s="2" customFormat="1" ht="22.5" customHeight="1" x14ac:dyDescent="0.15">
      <c r="A614" s="23"/>
      <c r="B614" s="23"/>
      <c r="C614" s="23"/>
      <c r="D614" s="49"/>
      <c r="E614" s="49"/>
      <c r="F614" s="85"/>
      <c r="G614" s="50"/>
      <c r="H614" s="42"/>
      <c r="I614" s="49"/>
      <c r="J614" s="49"/>
    </row>
    <row r="615" spans="1:10" s="2" customFormat="1" ht="22.5" customHeight="1" x14ac:dyDescent="0.15">
      <c r="A615" s="23"/>
      <c r="B615" s="23"/>
      <c r="C615" s="23"/>
      <c r="D615" s="49"/>
      <c r="E615" s="49"/>
      <c r="F615" s="85"/>
      <c r="G615" s="50"/>
      <c r="H615" s="42"/>
      <c r="I615" s="49"/>
      <c r="J615" s="49"/>
    </row>
    <row r="616" spans="1:10" s="2" customFormat="1" ht="22.5" customHeight="1" x14ac:dyDescent="0.15">
      <c r="A616" s="23"/>
      <c r="B616" s="23"/>
      <c r="C616" s="23"/>
      <c r="D616" s="49"/>
      <c r="E616" s="49"/>
      <c r="F616" s="85"/>
      <c r="G616" s="50"/>
      <c r="H616" s="42"/>
      <c r="I616" s="49"/>
      <c r="J616" s="49"/>
    </row>
    <row r="617" spans="1:10" s="2" customFormat="1" ht="22.5" customHeight="1" x14ac:dyDescent="0.15">
      <c r="A617" s="23"/>
      <c r="B617" s="23"/>
      <c r="C617" s="23"/>
      <c r="D617" s="49"/>
      <c r="E617" s="49"/>
      <c r="F617" s="85"/>
      <c r="G617" s="50"/>
      <c r="H617" s="42"/>
      <c r="I617" s="49"/>
      <c r="J617" s="49"/>
    </row>
    <row r="618" spans="1:10" s="2" customFormat="1" ht="22.5" customHeight="1" x14ac:dyDescent="0.15">
      <c r="A618" s="23"/>
      <c r="B618" s="23"/>
      <c r="C618" s="23"/>
      <c r="D618" s="49"/>
      <c r="E618" s="49"/>
      <c r="F618" s="85"/>
      <c r="G618" s="50"/>
      <c r="H618" s="42"/>
      <c r="I618" s="49"/>
      <c r="J618" s="49"/>
    </row>
    <row r="619" spans="1:10" s="2" customFormat="1" ht="22.5" customHeight="1" x14ac:dyDescent="0.15">
      <c r="A619" s="23"/>
      <c r="B619" s="23"/>
      <c r="C619" s="23"/>
      <c r="D619" s="49"/>
      <c r="E619" s="49"/>
      <c r="F619" s="85"/>
      <c r="G619" s="50"/>
      <c r="H619" s="42"/>
      <c r="I619" s="49"/>
      <c r="J619" s="49"/>
    </row>
    <row r="620" spans="1:10" s="2" customFormat="1" ht="22.5" customHeight="1" x14ac:dyDescent="0.15">
      <c r="A620" s="23"/>
      <c r="B620" s="23"/>
      <c r="C620" s="23"/>
      <c r="D620" s="49"/>
      <c r="E620" s="49"/>
      <c r="F620" s="85"/>
      <c r="G620" s="50"/>
      <c r="H620" s="42"/>
      <c r="I620" s="49"/>
      <c r="J620" s="49"/>
    </row>
    <row r="621" spans="1:10" s="2" customFormat="1" ht="22.5" customHeight="1" x14ac:dyDescent="0.15">
      <c r="A621" s="23"/>
      <c r="B621" s="23"/>
      <c r="C621" s="23"/>
      <c r="D621" s="49"/>
      <c r="E621" s="49"/>
      <c r="F621" s="85"/>
      <c r="G621" s="50"/>
      <c r="H621" s="42"/>
      <c r="I621" s="49"/>
      <c r="J621" s="49"/>
    </row>
    <row r="622" spans="1:10" s="2" customFormat="1" ht="22.5" customHeight="1" x14ac:dyDescent="0.15">
      <c r="A622" s="23"/>
      <c r="B622" s="23"/>
      <c r="C622" s="23"/>
      <c r="D622" s="49"/>
      <c r="E622" s="49"/>
      <c r="F622" s="85"/>
      <c r="G622" s="50"/>
      <c r="H622" s="42"/>
      <c r="I622" s="49"/>
      <c r="J622" s="49"/>
    </row>
    <row r="623" spans="1:10" s="2" customFormat="1" ht="22.5" customHeight="1" x14ac:dyDescent="0.15">
      <c r="A623" s="23"/>
      <c r="B623" s="23"/>
      <c r="C623" s="23"/>
      <c r="D623" s="49"/>
      <c r="E623" s="49"/>
      <c r="F623" s="85"/>
      <c r="G623" s="50"/>
      <c r="H623" s="42"/>
      <c r="I623" s="49"/>
      <c r="J623" s="49"/>
    </row>
    <row r="624" spans="1:10" s="2" customFormat="1" ht="22.5" customHeight="1" x14ac:dyDescent="0.15">
      <c r="A624" s="23"/>
      <c r="B624" s="23"/>
      <c r="C624" s="23"/>
      <c r="D624" s="49"/>
      <c r="E624" s="49"/>
      <c r="F624" s="85"/>
      <c r="G624" s="50"/>
      <c r="H624" s="42"/>
      <c r="I624" s="49"/>
      <c r="J624" s="49"/>
    </row>
    <row r="625" spans="1:10" s="2" customFormat="1" ht="22.5" customHeight="1" x14ac:dyDescent="0.15">
      <c r="A625" s="23"/>
      <c r="B625" s="23"/>
      <c r="C625" s="23"/>
      <c r="D625" s="49"/>
      <c r="E625" s="49"/>
      <c r="F625" s="85"/>
      <c r="G625" s="50"/>
      <c r="H625" s="42"/>
      <c r="I625" s="49"/>
      <c r="J625" s="49"/>
    </row>
    <row r="626" spans="1:10" s="2" customFormat="1" ht="22.5" customHeight="1" x14ac:dyDescent="0.15">
      <c r="A626" s="23"/>
      <c r="B626" s="23"/>
      <c r="C626" s="23"/>
      <c r="D626" s="49"/>
      <c r="E626" s="49"/>
      <c r="F626" s="85"/>
      <c r="G626" s="50"/>
      <c r="H626" s="42"/>
      <c r="I626" s="49"/>
      <c r="J626" s="49"/>
    </row>
    <row r="627" spans="1:10" s="2" customFormat="1" ht="22.5" customHeight="1" x14ac:dyDescent="0.15">
      <c r="A627" s="23"/>
      <c r="B627" s="23"/>
      <c r="C627" s="23"/>
      <c r="D627" s="49"/>
      <c r="E627" s="49"/>
      <c r="F627" s="85"/>
      <c r="G627" s="50"/>
      <c r="H627" s="42"/>
      <c r="I627" s="49"/>
      <c r="J627" s="49"/>
    </row>
    <row r="628" spans="1:10" s="2" customFormat="1" ht="22.5" customHeight="1" x14ac:dyDescent="0.15">
      <c r="A628" s="23"/>
      <c r="B628" s="23"/>
      <c r="C628" s="23"/>
      <c r="D628" s="49"/>
      <c r="E628" s="49"/>
      <c r="F628" s="85"/>
      <c r="G628" s="50"/>
      <c r="H628" s="42"/>
      <c r="I628" s="49"/>
      <c r="J628" s="49"/>
    </row>
    <row r="629" spans="1:10" s="2" customFormat="1" ht="22.5" customHeight="1" x14ac:dyDescent="0.15">
      <c r="A629" s="23"/>
      <c r="B629" s="23"/>
      <c r="C629" s="23"/>
      <c r="D629" s="49"/>
      <c r="E629" s="49"/>
      <c r="F629" s="85"/>
      <c r="G629" s="50"/>
      <c r="H629" s="42"/>
      <c r="I629" s="49"/>
      <c r="J629" s="49"/>
    </row>
    <row r="630" spans="1:10" s="2" customFormat="1" ht="22.5" customHeight="1" x14ac:dyDescent="0.15">
      <c r="A630" s="23"/>
      <c r="B630" s="23"/>
      <c r="C630" s="23"/>
      <c r="D630" s="49"/>
      <c r="E630" s="49"/>
      <c r="F630" s="85"/>
      <c r="G630" s="50"/>
      <c r="H630" s="42"/>
      <c r="I630" s="49"/>
      <c r="J630" s="49"/>
    </row>
    <row r="631" spans="1:10" s="2" customFormat="1" ht="22.5" customHeight="1" x14ac:dyDescent="0.15">
      <c r="A631" s="23"/>
      <c r="B631" s="23"/>
      <c r="C631" s="23"/>
      <c r="D631" s="49"/>
      <c r="E631" s="49"/>
      <c r="F631" s="85"/>
      <c r="G631" s="50"/>
      <c r="H631" s="42"/>
      <c r="I631" s="49"/>
      <c r="J631" s="49"/>
    </row>
    <row r="632" spans="1:10" s="2" customFormat="1" ht="22.5" customHeight="1" x14ac:dyDescent="0.15">
      <c r="A632" s="23"/>
      <c r="B632" s="23"/>
      <c r="C632" s="23"/>
      <c r="D632" s="49"/>
      <c r="E632" s="49"/>
      <c r="F632" s="85"/>
      <c r="G632" s="50"/>
      <c r="H632" s="42"/>
      <c r="I632" s="49"/>
      <c r="J632" s="49"/>
    </row>
    <row r="633" spans="1:10" s="2" customFormat="1" ht="22.5" customHeight="1" x14ac:dyDescent="0.15">
      <c r="A633" s="23"/>
      <c r="B633" s="23"/>
      <c r="C633" s="23"/>
      <c r="D633" s="49"/>
      <c r="E633" s="49"/>
      <c r="F633" s="85"/>
      <c r="G633" s="50"/>
      <c r="H633" s="42"/>
      <c r="I633" s="49"/>
      <c r="J633" s="49"/>
    </row>
    <row r="634" spans="1:10" s="2" customFormat="1" ht="22.5" customHeight="1" x14ac:dyDescent="0.15">
      <c r="A634" s="23"/>
      <c r="B634" s="23"/>
      <c r="C634" s="23"/>
      <c r="D634" s="49"/>
      <c r="E634" s="49"/>
      <c r="F634" s="85"/>
      <c r="G634" s="50"/>
      <c r="H634" s="42"/>
      <c r="I634" s="49"/>
      <c r="J634" s="49"/>
    </row>
    <row r="635" spans="1:10" s="2" customFormat="1" ht="22.5" customHeight="1" x14ac:dyDescent="0.15">
      <c r="A635" s="23"/>
      <c r="B635" s="23"/>
      <c r="C635" s="23"/>
      <c r="D635" s="49"/>
      <c r="E635" s="49"/>
      <c r="F635" s="85"/>
      <c r="G635" s="50"/>
      <c r="H635" s="42"/>
      <c r="I635" s="49"/>
      <c r="J635" s="49"/>
    </row>
    <row r="636" spans="1:10" s="2" customFormat="1" ht="22.5" customHeight="1" x14ac:dyDescent="0.15">
      <c r="A636" s="23"/>
      <c r="B636" s="23"/>
      <c r="C636" s="23"/>
      <c r="D636" s="49"/>
      <c r="E636" s="49"/>
      <c r="F636" s="85"/>
      <c r="G636" s="50"/>
      <c r="H636" s="42"/>
      <c r="I636" s="49"/>
      <c r="J636" s="49"/>
    </row>
    <row r="637" spans="1:10" s="2" customFormat="1" ht="22.5" customHeight="1" x14ac:dyDescent="0.15">
      <c r="A637" s="23"/>
      <c r="B637" s="23"/>
      <c r="C637" s="23"/>
      <c r="D637" s="49"/>
      <c r="E637" s="49"/>
      <c r="F637" s="85"/>
      <c r="G637" s="50"/>
      <c r="H637" s="42"/>
      <c r="I637" s="49"/>
      <c r="J637" s="49"/>
    </row>
    <row r="638" spans="1:10" s="2" customFormat="1" ht="22.5" customHeight="1" x14ac:dyDescent="0.15">
      <c r="A638" s="23"/>
      <c r="B638" s="23"/>
      <c r="C638" s="23"/>
      <c r="D638" s="49"/>
      <c r="E638" s="49"/>
      <c r="F638" s="85"/>
      <c r="G638" s="50"/>
      <c r="H638" s="42"/>
      <c r="I638" s="49"/>
      <c r="J638" s="49"/>
    </row>
    <row r="639" spans="1:10" s="2" customFormat="1" ht="22.5" customHeight="1" x14ac:dyDescent="0.15">
      <c r="A639" s="23"/>
      <c r="B639" s="23"/>
      <c r="C639" s="23"/>
      <c r="D639" s="49"/>
      <c r="E639" s="49"/>
      <c r="F639" s="85"/>
      <c r="G639" s="50"/>
      <c r="H639" s="42"/>
      <c r="I639" s="49"/>
      <c r="J639" s="49"/>
    </row>
    <row r="640" spans="1:10" s="2" customFormat="1" ht="22.5" customHeight="1" x14ac:dyDescent="0.15">
      <c r="A640" s="23"/>
      <c r="B640" s="23"/>
      <c r="C640" s="23"/>
      <c r="D640" s="49"/>
      <c r="E640" s="49"/>
      <c r="F640" s="85"/>
      <c r="G640" s="50"/>
      <c r="H640" s="42"/>
      <c r="I640" s="49"/>
      <c r="J640" s="49"/>
    </row>
    <row r="641" spans="1:10" s="2" customFormat="1" ht="22.5" customHeight="1" x14ac:dyDescent="0.15">
      <c r="A641" s="23"/>
      <c r="B641" s="23"/>
      <c r="C641" s="23"/>
      <c r="D641" s="49"/>
      <c r="E641" s="49"/>
      <c r="F641" s="85"/>
      <c r="G641" s="50"/>
      <c r="H641" s="42"/>
      <c r="I641" s="49"/>
      <c r="J641" s="49"/>
    </row>
    <row r="642" spans="1:10" s="2" customFormat="1" ht="22.5" customHeight="1" x14ac:dyDescent="0.15">
      <c r="A642" s="23"/>
      <c r="B642" s="23"/>
      <c r="C642" s="23"/>
      <c r="D642" s="49"/>
      <c r="E642" s="49"/>
      <c r="F642" s="85"/>
      <c r="G642" s="50"/>
      <c r="H642" s="42"/>
      <c r="I642" s="49"/>
      <c r="J642" s="49"/>
    </row>
    <row r="643" spans="1:10" s="2" customFormat="1" ht="22.5" customHeight="1" x14ac:dyDescent="0.15">
      <c r="A643" s="23"/>
      <c r="B643" s="23"/>
      <c r="C643" s="23"/>
      <c r="D643" s="49"/>
      <c r="E643" s="49"/>
      <c r="F643" s="85"/>
      <c r="G643" s="50"/>
      <c r="H643" s="42"/>
      <c r="I643" s="49"/>
      <c r="J643" s="49"/>
    </row>
    <row r="644" spans="1:10" s="2" customFormat="1" ht="22.5" customHeight="1" x14ac:dyDescent="0.15">
      <c r="A644" s="23"/>
      <c r="B644" s="23"/>
      <c r="C644" s="23"/>
      <c r="D644" s="49"/>
      <c r="E644" s="49"/>
      <c r="F644" s="85"/>
      <c r="G644" s="50"/>
      <c r="H644" s="42"/>
      <c r="I644" s="49"/>
      <c r="J644" s="49"/>
    </row>
    <row r="645" spans="1:10" s="2" customFormat="1" ht="22.5" customHeight="1" x14ac:dyDescent="0.15">
      <c r="A645" s="23"/>
      <c r="B645" s="23"/>
      <c r="C645" s="23"/>
      <c r="D645" s="49"/>
      <c r="E645" s="49"/>
      <c r="F645" s="85"/>
      <c r="G645" s="50"/>
      <c r="H645" s="42"/>
      <c r="I645" s="49"/>
      <c r="J645" s="49"/>
    </row>
    <row r="646" spans="1:10" s="2" customFormat="1" ht="22.5" customHeight="1" x14ac:dyDescent="0.15">
      <c r="A646" s="23"/>
      <c r="B646" s="23"/>
      <c r="C646" s="23"/>
      <c r="D646" s="49"/>
      <c r="E646" s="49"/>
      <c r="F646" s="85"/>
      <c r="G646" s="50"/>
      <c r="H646" s="42"/>
      <c r="I646" s="49"/>
      <c r="J646" s="49"/>
    </row>
    <row r="647" spans="1:10" s="2" customFormat="1" ht="22.5" customHeight="1" x14ac:dyDescent="0.15">
      <c r="A647" s="23"/>
      <c r="B647" s="23"/>
      <c r="C647" s="23"/>
      <c r="D647" s="49"/>
      <c r="E647" s="49"/>
      <c r="F647" s="85"/>
      <c r="G647" s="50"/>
      <c r="H647" s="42"/>
      <c r="I647" s="49"/>
      <c r="J647" s="49"/>
    </row>
    <row r="648" spans="1:10" s="2" customFormat="1" ht="22.5" customHeight="1" x14ac:dyDescent="0.15">
      <c r="A648" s="23"/>
      <c r="B648" s="23"/>
      <c r="C648" s="23"/>
      <c r="D648" s="49"/>
      <c r="E648" s="49"/>
      <c r="F648" s="85"/>
      <c r="G648" s="50"/>
      <c r="H648" s="42"/>
      <c r="I648" s="49"/>
      <c r="J648" s="49"/>
    </row>
    <row r="649" spans="1:10" s="2" customFormat="1" ht="22.5" customHeight="1" x14ac:dyDescent="0.15">
      <c r="A649" s="23"/>
      <c r="B649" s="23"/>
      <c r="C649" s="23"/>
      <c r="D649" s="49"/>
      <c r="E649" s="49"/>
      <c r="F649" s="85"/>
      <c r="G649" s="50"/>
      <c r="H649" s="42"/>
      <c r="I649" s="49"/>
      <c r="J649" s="49"/>
    </row>
    <row r="650" spans="1:10" s="2" customFormat="1" ht="22.5" customHeight="1" x14ac:dyDescent="0.15">
      <c r="A650" s="23"/>
      <c r="B650" s="23"/>
      <c r="C650" s="23"/>
      <c r="D650" s="49"/>
      <c r="E650" s="49"/>
      <c r="F650" s="85"/>
      <c r="G650" s="50"/>
      <c r="H650" s="42"/>
      <c r="I650" s="49"/>
      <c r="J650" s="49"/>
    </row>
    <row r="651" spans="1:10" s="2" customFormat="1" ht="22.5" customHeight="1" x14ac:dyDescent="0.15">
      <c r="A651" s="23"/>
      <c r="B651" s="23"/>
      <c r="C651" s="23"/>
      <c r="D651" s="49"/>
      <c r="E651" s="49"/>
      <c r="F651" s="85"/>
      <c r="G651" s="50"/>
      <c r="H651" s="42"/>
      <c r="I651" s="49"/>
      <c r="J651" s="49"/>
    </row>
    <row r="652" spans="1:10" s="2" customFormat="1" ht="22.5" customHeight="1" x14ac:dyDescent="0.15">
      <c r="A652" s="23"/>
      <c r="B652" s="23"/>
      <c r="C652" s="23"/>
      <c r="D652" s="49"/>
      <c r="E652" s="49"/>
      <c r="F652" s="85"/>
      <c r="G652" s="50"/>
      <c r="H652" s="42"/>
      <c r="I652" s="49"/>
      <c r="J652" s="49"/>
    </row>
    <row r="653" spans="1:10" s="2" customFormat="1" ht="22.5" customHeight="1" x14ac:dyDescent="0.15">
      <c r="A653" s="23"/>
      <c r="B653" s="23"/>
      <c r="C653" s="23"/>
      <c r="D653" s="49"/>
      <c r="E653" s="49"/>
      <c r="F653" s="85"/>
      <c r="G653" s="50"/>
      <c r="H653" s="42"/>
      <c r="I653" s="49"/>
      <c r="J653" s="49"/>
    </row>
    <row r="654" spans="1:10" s="2" customFormat="1" ht="22.5" customHeight="1" x14ac:dyDescent="0.15">
      <c r="A654" s="23"/>
      <c r="B654" s="23"/>
      <c r="C654" s="23"/>
      <c r="D654" s="49"/>
      <c r="E654" s="49"/>
      <c r="F654" s="85"/>
      <c r="G654" s="50"/>
      <c r="H654" s="42"/>
      <c r="I654" s="49"/>
      <c r="J654" s="49"/>
    </row>
    <row r="655" spans="1:10" s="2" customFormat="1" ht="22.5" customHeight="1" x14ac:dyDescent="0.15">
      <c r="A655" s="23"/>
      <c r="B655" s="23"/>
      <c r="C655" s="23"/>
      <c r="D655" s="49"/>
      <c r="E655" s="49"/>
      <c r="F655" s="85"/>
      <c r="G655" s="50"/>
      <c r="H655" s="42"/>
      <c r="I655" s="49"/>
      <c r="J655" s="49"/>
    </row>
    <row r="656" spans="1:10" s="2" customFormat="1" ht="22.5" customHeight="1" x14ac:dyDescent="0.15">
      <c r="A656" s="23"/>
      <c r="B656" s="23"/>
      <c r="C656" s="23"/>
      <c r="D656" s="49"/>
      <c r="E656" s="49"/>
      <c r="F656" s="85"/>
      <c r="G656" s="50"/>
      <c r="H656" s="42"/>
      <c r="I656" s="49"/>
      <c r="J656" s="49"/>
    </row>
    <row r="657" spans="1:10" s="2" customFormat="1" ht="22.5" customHeight="1" x14ac:dyDescent="0.15">
      <c r="A657" s="23"/>
      <c r="B657" s="23"/>
      <c r="C657" s="23"/>
      <c r="D657" s="49"/>
      <c r="E657" s="49"/>
      <c r="F657" s="85"/>
      <c r="G657" s="50"/>
      <c r="H657" s="42"/>
      <c r="I657" s="49"/>
      <c r="J657" s="49"/>
    </row>
    <row r="658" spans="1:10" s="2" customFormat="1" ht="22.5" customHeight="1" x14ac:dyDescent="0.15">
      <c r="A658" s="23"/>
      <c r="B658" s="23"/>
      <c r="C658" s="23"/>
      <c r="D658" s="49"/>
      <c r="E658" s="49"/>
      <c r="F658" s="85"/>
      <c r="G658" s="50"/>
      <c r="H658" s="42"/>
      <c r="I658" s="49"/>
      <c r="J658" s="49"/>
    </row>
    <row r="659" spans="1:10" s="2" customFormat="1" ht="22.5" customHeight="1" x14ac:dyDescent="0.15">
      <c r="A659" s="23"/>
      <c r="B659" s="23"/>
      <c r="C659" s="23"/>
      <c r="D659" s="49"/>
      <c r="E659" s="49"/>
      <c r="F659" s="85"/>
      <c r="G659" s="50"/>
      <c r="H659" s="42"/>
      <c r="I659" s="49"/>
      <c r="J659" s="49"/>
    </row>
    <row r="660" spans="1:10" s="2" customFormat="1" ht="22.5" customHeight="1" x14ac:dyDescent="0.15">
      <c r="A660" s="23"/>
      <c r="B660" s="23"/>
      <c r="C660" s="23"/>
      <c r="D660" s="49"/>
      <c r="E660" s="49"/>
      <c r="F660" s="85"/>
      <c r="G660" s="50"/>
      <c r="H660" s="42"/>
      <c r="I660" s="49"/>
      <c r="J660" s="49"/>
    </row>
    <row r="661" spans="1:10" s="2" customFormat="1" ht="22.5" customHeight="1" x14ac:dyDescent="0.15">
      <c r="A661" s="23"/>
      <c r="B661" s="23"/>
      <c r="C661" s="23"/>
      <c r="D661" s="49"/>
      <c r="E661" s="49"/>
      <c r="F661" s="85"/>
      <c r="G661" s="50"/>
      <c r="H661" s="42"/>
      <c r="I661" s="49"/>
      <c r="J661" s="49"/>
    </row>
    <row r="662" spans="1:10" s="2" customFormat="1" ht="22.5" customHeight="1" x14ac:dyDescent="0.15">
      <c r="A662" s="23"/>
      <c r="B662" s="23"/>
      <c r="C662" s="23"/>
      <c r="D662" s="49"/>
      <c r="E662" s="49"/>
      <c r="F662" s="85"/>
      <c r="G662" s="50"/>
      <c r="H662" s="42"/>
      <c r="I662" s="49"/>
      <c r="J662" s="49"/>
    </row>
    <row r="663" spans="1:10" s="2" customFormat="1" ht="22.5" customHeight="1" x14ac:dyDescent="0.15">
      <c r="A663" s="23"/>
      <c r="B663" s="23"/>
      <c r="C663" s="23"/>
      <c r="D663" s="49"/>
      <c r="E663" s="49"/>
      <c r="F663" s="85"/>
      <c r="G663" s="50"/>
      <c r="H663" s="42"/>
      <c r="I663" s="49"/>
      <c r="J663" s="49"/>
    </row>
    <row r="664" spans="1:10" s="2" customFormat="1" ht="22.5" customHeight="1" x14ac:dyDescent="0.15">
      <c r="A664" s="23"/>
      <c r="B664" s="23"/>
      <c r="C664" s="23"/>
      <c r="D664" s="49"/>
      <c r="E664" s="49"/>
      <c r="F664" s="85"/>
      <c r="G664" s="50"/>
      <c r="H664" s="42"/>
      <c r="I664" s="49"/>
      <c r="J664" s="49"/>
    </row>
    <row r="665" spans="1:10" s="2" customFormat="1" ht="22.5" customHeight="1" x14ac:dyDescent="0.15">
      <c r="A665" s="23"/>
      <c r="B665" s="23"/>
      <c r="C665" s="23"/>
      <c r="D665" s="49"/>
      <c r="E665" s="49"/>
      <c r="F665" s="85"/>
      <c r="G665" s="50"/>
      <c r="H665" s="42"/>
      <c r="I665" s="49"/>
      <c r="J665" s="49"/>
    </row>
    <row r="666" spans="1:10" s="2" customFormat="1" ht="22.5" customHeight="1" x14ac:dyDescent="0.15">
      <c r="A666" s="23"/>
      <c r="B666" s="23"/>
      <c r="C666" s="23"/>
      <c r="D666" s="49"/>
      <c r="E666" s="49"/>
      <c r="F666" s="85"/>
      <c r="G666" s="50"/>
      <c r="H666" s="42"/>
      <c r="I666" s="49"/>
      <c r="J666" s="49"/>
    </row>
    <row r="667" spans="1:10" s="2" customFormat="1" ht="22.5" customHeight="1" x14ac:dyDescent="0.15">
      <c r="A667" s="23"/>
      <c r="B667" s="23"/>
      <c r="C667" s="23"/>
      <c r="D667" s="49"/>
      <c r="E667" s="49"/>
      <c r="F667" s="85"/>
      <c r="G667" s="50"/>
      <c r="H667" s="42"/>
      <c r="I667" s="49"/>
      <c r="J667" s="49"/>
    </row>
    <row r="668" spans="1:10" s="2" customFormat="1" ht="22.5" customHeight="1" x14ac:dyDescent="0.15">
      <c r="A668" s="23"/>
      <c r="B668" s="23"/>
      <c r="C668" s="23"/>
      <c r="D668" s="49"/>
      <c r="E668" s="49"/>
      <c r="F668" s="85"/>
      <c r="G668" s="50"/>
      <c r="H668" s="42"/>
      <c r="I668" s="49"/>
      <c r="J668" s="49"/>
    </row>
    <row r="669" spans="1:10" s="2" customFormat="1" ht="22.5" customHeight="1" x14ac:dyDescent="0.15">
      <c r="A669" s="23"/>
      <c r="B669" s="23"/>
      <c r="C669" s="23"/>
      <c r="D669" s="49"/>
      <c r="E669" s="49"/>
      <c r="F669" s="85"/>
      <c r="G669" s="50"/>
      <c r="H669" s="42"/>
      <c r="I669" s="49"/>
      <c r="J669" s="49"/>
    </row>
    <row r="670" spans="1:10" s="2" customFormat="1" ht="22.5" customHeight="1" x14ac:dyDescent="0.15">
      <c r="A670" s="23"/>
      <c r="B670" s="23"/>
      <c r="C670" s="23"/>
      <c r="D670" s="49"/>
      <c r="E670" s="49"/>
      <c r="F670" s="85"/>
      <c r="G670" s="50"/>
      <c r="H670" s="42"/>
      <c r="I670" s="49"/>
      <c r="J670" s="49"/>
    </row>
    <row r="671" spans="1:10" s="2" customFormat="1" ht="22.5" customHeight="1" x14ac:dyDescent="0.15">
      <c r="A671" s="23"/>
      <c r="B671" s="23"/>
      <c r="C671" s="23"/>
      <c r="D671" s="49"/>
      <c r="E671" s="49"/>
      <c r="F671" s="85"/>
      <c r="G671" s="50"/>
      <c r="H671" s="42"/>
      <c r="I671" s="49"/>
      <c r="J671" s="49"/>
    </row>
    <row r="672" spans="1:10" s="2" customFormat="1" ht="22.5" customHeight="1" x14ac:dyDescent="0.15">
      <c r="A672" s="23"/>
      <c r="B672" s="23"/>
      <c r="C672" s="23"/>
      <c r="D672" s="49"/>
      <c r="E672" s="49"/>
      <c r="F672" s="85"/>
      <c r="G672" s="50"/>
      <c r="H672" s="42"/>
      <c r="I672" s="49"/>
      <c r="J672" s="49"/>
    </row>
    <row r="673" spans="1:10" s="2" customFormat="1" ht="22.5" customHeight="1" x14ac:dyDescent="0.15">
      <c r="A673" s="23"/>
      <c r="B673" s="23"/>
      <c r="C673" s="23"/>
      <c r="D673" s="49"/>
      <c r="E673" s="49"/>
      <c r="F673" s="85"/>
      <c r="G673" s="50"/>
      <c r="H673" s="42"/>
      <c r="I673" s="49"/>
      <c r="J673" s="49"/>
    </row>
    <row r="674" spans="1:10" s="2" customFormat="1" ht="22.5" customHeight="1" x14ac:dyDescent="0.15">
      <c r="A674" s="23"/>
      <c r="B674" s="23"/>
      <c r="C674" s="23"/>
      <c r="D674" s="49"/>
      <c r="E674" s="49"/>
      <c r="F674" s="85"/>
      <c r="G674" s="50"/>
      <c r="H674" s="42"/>
      <c r="I674" s="49"/>
      <c r="J674" s="49"/>
    </row>
    <row r="675" spans="1:10" s="2" customFormat="1" ht="22.5" customHeight="1" x14ac:dyDescent="0.15">
      <c r="A675" s="23"/>
      <c r="B675" s="23"/>
      <c r="C675" s="23"/>
      <c r="D675" s="49"/>
      <c r="E675" s="49"/>
      <c r="F675" s="85"/>
      <c r="G675" s="50"/>
      <c r="H675" s="42"/>
      <c r="I675" s="49"/>
      <c r="J675" s="49"/>
    </row>
    <row r="676" spans="1:10" s="2" customFormat="1" ht="22.5" customHeight="1" x14ac:dyDescent="0.15">
      <c r="A676" s="23"/>
      <c r="B676" s="23"/>
      <c r="C676" s="23"/>
      <c r="D676" s="49"/>
      <c r="E676" s="49"/>
      <c r="F676" s="85"/>
      <c r="G676" s="50"/>
      <c r="H676" s="42"/>
      <c r="I676" s="49"/>
      <c r="J676" s="49"/>
    </row>
    <row r="677" spans="1:10" s="2" customFormat="1" ht="22.5" customHeight="1" x14ac:dyDescent="0.15">
      <c r="A677" s="23"/>
      <c r="B677" s="23"/>
      <c r="C677" s="23"/>
      <c r="D677" s="49"/>
      <c r="E677" s="49"/>
      <c r="F677" s="85"/>
      <c r="G677" s="50"/>
      <c r="H677" s="42"/>
      <c r="I677" s="49"/>
      <c r="J677" s="49"/>
    </row>
    <row r="678" spans="1:10" s="2" customFormat="1" ht="22.5" customHeight="1" x14ac:dyDescent="0.15">
      <c r="A678" s="23"/>
      <c r="B678" s="23"/>
      <c r="C678" s="23"/>
      <c r="D678" s="49"/>
      <c r="E678" s="49"/>
      <c r="F678" s="85"/>
      <c r="G678" s="50"/>
      <c r="H678" s="42"/>
      <c r="I678" s="49"/>
      <c r="J678" s="49"/>
    </row>
    <row r="679" spans="1:10" s="2" customFormat="1" ht="22.5" customHeight="1" x14ac:dyDescent="0.15">
      <c r="A679" s="23"/>
      <c r="B679" s="23"/>
      <c r="C679" s="23"/>
      <c r="D679" s="49"/>
      <c r="E679" s="49"/>
      <c r="F679" s="85"/>
      <c r="G679" s="50"/>
      <c r="H679" s="42"/>
      <c r="I679" s="49"/>
      <c r="J679" s="49"/>
    </row>
    <row r="680" spans="1:10" s="2" customFormat="1" ht="22.5" customHeight="1" x14ac:dyDescent="0.15">
      <c r="A680" s="23"/>
      <c r="B680" s="23"/>
      <c r="C680" s="23"/>
      <c r="D680" s="49"/>
      <c r="E680" s="49"/>
      <c r="F680" s="85"/>
      <c r="G680" s="50"/>
      <c r="H680" s="42"/>
      <c r="I680" s="49"/>
      <c r="J680" s="49"/>
    </row>
    <row r="681" spans="1:10" s="2" customFormat="1" ht="22.5" customHeight="1" x14ac:dyDescent="0.15">
      <c r="A681" s="23"/>
      <c r="B681" s="23"/>
      <c r="C681" s="23"/>
      <c r="D681" s="49"/>
      <c r="E681" s="49"/>
      <c r="F681" s="85"/>
      <c r="G681" s="50"/>
      <c r="H681" s="42"/>
      <c r="I681" s="49"/>
      <c r="J681" s="49"/>
    </row>
    <row r="682" spans="1:10" s="2" customFormat="1" ht="22.5" customHeight="1" x14ac:dyDescent="0.15">
      <c r="A682" s="23"/>
      <c r="B682" s="23"/>
      <c r="C682" s="23"/>
      <c r="D682" s="49"/>
      <c r="E682" s="49"/>
      <c r="F682" s="85"/>
      <c r="G682" s="50"/>
      <c r="H682" s="42"/>
      <c r="I682" s="49"/>
      <c r="J682" s="49"/>
    </row>
    <row r="683" spans="1:10" s="2" customFormat="1" ht="22.5" customHeight="1" x14ac:dyDescent="0.15">
      <c r="A683" s="23"/>
      <c r="B683" s="23"/>
      <c r="C683" s="23"/>
      <c r="D683" s="49"/>
      <c r="E683" s="49"/>
      <c r="F683" s="85"/>
      <c r="G683" s="50"/>
      <c r="H683" s="42"/>
      <c r="I683" s="49"/>
      <c r="J683" s="49"/>
    </row>
    <row r="684" spans="1:10" s="2" customFormat="1" ht="22.5" customHeight="1" x14ac:dyDescent="0.15">
      <c r="A684" s="23"/>
      <c r="B684" s="23"/>
      <c r="C684" s="23"/>
      <c r="D684" s="49"/>
      <c r="E684" s="49"/>
      <c r="F684" s="85"/>
      <c r="G684" s="50"/>
      <c r="H684" s="42"/>
      <c r="I684" s="49"/>
      <c r="J684" s="49"/>
    </row>
    <row r="685" spans="1:10" s="2" customFormat="1" ht="22.5" customHeight="1" x14ac:dyDescent="0.15">
      <c r="A685" s="23"/>
      <c r="B685" s="23"/>
      <c r="C685" s="23"/>
      <c r="D685" s="49"/>
      <c r="E685" s="49"/>
      <c r="F685" s="85"/>
      <c r="G685" s="50"/>
      <c r="H685" s="42"/>
      <c r="I685" s="49"/>
      <c r="J685" s="49"/>
    </row>
    <row r="686" spans="1:10" s="2" customFormat="1" ht="22.5" customHeight="1" x14ac:dyDescent="0.15">
      <c r="A686" s="23"/>
      <c r="B686" s="23"/>
      <c r="C686" s="23"/>
      <c r="D686" s="49"/>
      <c r="E686" s="49"/>
      <c r="F686" s="85"/>
      <c r="G686" s="50"/>
      <c r="H686" s="42"/>
      <c r="I686" s="49"/>
      <c r="J686" s="49"/>
    </row>
    <row r="687" spans="1:10" s="2" customFormat="1" ht="22.5" customHeight="1" x14ac:dyDescent="0.15">
      <c r="A687" s="23"/>
      <c r="B687" s="23"/>
      <c r="C687" s="23"/>
      <c r="D687" s="49"/>
      <c r="E687" s="49"/>
      <c r="F687" s="85"/>
      <c r="G687" s="50"/>
      <c r="H687" s="42"/>
      <c r="I687" s="49"/>
      <c r="J687" s="49"/>
    </row>
    <row r="688" spans="1:10" s="2" customFormat="1" ht="22.5" customHeight="1" x14ac:dyDescent="0.15">
      <c r="A688" s="23"/>
      <c r="B688" s="23"/>
      <c r="C688" s="23"/>
      <c r="D688" s="49"/>
      <c r="E688" s="49"/>
      <c r="F688" s="85"/>
      <c r="G688" s="50"/>
      <c r="H688" s="42"/>
      <c r="I688" s="49"/>
      <c r="J688" s="49"/>
    </row>
    <row r="689" spans="1:10" s="2" customFormat="1" ht="22.5" customHeight="1" x14ac:dyDescent="0.15">
      <c r="A689" s="23"/>
      <c r="B689" s="23"/>
      <c r="C689" s="23"/>
      <c r="D689" s="49"/>
      <c r="E689" s="49"/>
      <c r="F689" s="85"/>
      <c r="G689" s="50"/>
      <c r="H689" s="42"/>
      <c r="I689" s="49"/>
      <c r="J689" s="49"/>
    </row>
    <row r="690" spans="1:10" s="2" customFormat="1" ht="22.5" customHeight="1" x14ac:dyDescent="0.15">
      <c r="A690" s="23"/>
      <c r="B690" s="23"/>
      <c r="C690" s="23"/>
      <c r="D690" s="49"/>
      <c r="E690" s="49"/>
      <c r="F690" s="85"/>
      <c r="G690" s="50"/>
      <c r="H690" s="42"/>
      <c r="I690" s="49"/>
      <c r="J690" s="49"/>
    </row>
    <row r="691" spans="1:10" s="2" customFormat="1" ht="22.5" customHeight="1" x14ac:dyDescent="0.15">
      <c r="A691" s="23"/>
      <c r="B691" s="23"/>
      <c r="C691" s="23"/>
      <c r="D691" s="49"/>
      <c r="E691" s="49"/>
      <c r="F691" s="85"/>
      <c r="G691" s="50"/>
      <c r="H691" s="42"/>
      <c r="I691" s="49"/>
      <c r="J691" s="49"/>
    </row>
    <row r="692" spans="1:10" s="2" customFormat="1" ht="22.5" customHeight="1" x14ac:dyDescent="0.15">
      <c r="A692" s="23"/>
      <c r="B692" s="23"/>
      <c r="C692" s="23"/>
      <c r="D692" s="49"/>
      <c r="E692" s="49"/>
      <c r="F692" s="85"/>
      <c r="G692" s="50"/>
      <c r="H692" s="42"/>
      <c r="I692" s="49"/>
      <c r="J692" s="49"/>
    </row>
    <row r="693" spans="1:10" s="2" customFormat="1" ht="22.5" customHeight="1" x14ac:dyDescent="0.15">
      <c r="A693" s="23"/>
      <c r="B693" s="23"/>
      <c r="C693" s="23"/>
      <c r="D693" s="49"/>
      <c r="E693" s="49"/>
      <c r="F693" s="85"/>
      <c r="G693" s="50"/>
      <c r="H693" s="42"/>
      <c r="I693" s="49"/>
      <c r="J693" s="49"/>
    </row>
    <row r="694" spans="1:10" s="2" customFormat="1" ht="22.5" customHeight="1" x14ac:dyDescent="0.15">
      <c r="A694" s="23"/>
      <c r="B694" s="23"/>
      <c r="C694" s="23"/>
      <c r="D694" s="49"/>
      <c r="E694" s="49"/>
      <c r="F694" s="85"/>
      <c r="G694" s="50"/>
      <c r="H694" s="42"/>
      <c r="I694" s="49"/>
      <c r="J694" s="49"/>
    </row>
    <row r="695" spans="1:10" s="2" customFormat="1" ht="22.5" customHeight="1" x14ac:dyDescent="0.15">
      <c r="A695" s="3"/>
      <c r="B695" s="3"/>
      <c r="C695" s="3"/>
      <c r="D695" s="37"/>
      <c r="E695" s="37"/>
      <c r="F695" s="80"/>
      <c r="G695" s="4"/>
      <c r="H695" s="38"/>
      <c r="I695" s="37"/>
      <c r="J695" s="37"/>
    </row>
    <row r="696" spans="1:10" s="2" customFormat="1" ht="22.5" customHeight="1" x14ac:dyDescent="0.15">
      <c r="A696" s="3"/>
      <c r="B696" s="3"/>
      <c r="C696" s="3"/>
      <c r="D696" s="37"/>
      <c r="E696" s="37"/>
      <c r="F696" s="80"/>
      <c r="G696" s="4"/>
      <c r="H696" s="38"/>
      <c r="I696" s="37"/>
      <c r="J696" s="37"/>
    </row>
    <row r="697" spans="1:10" s="2" customFormat="1" ht="22.5" customHeight="1" x14ac:dyDescent="0.15">
      <c r="A697" s="3"/>
      <c r="B697" s="3"/>
      <c r="C697" s="3"/>
      <c r="D697" s="37"/>
      <c r="E697" s="37"/>
      <c r="F697" s="80"/>
      <c r="G697" s="4"/>
      <c r="H697" s="38"/>
      <c r="I697" s="37"/>
      <c r="J697" s="37"/>
    </row>
  </sheetData>
  <mergeCells count="7">
    <mergeCell ref="A1:J1"/>
    <mergeCell ref="A3:C3"/>
    <mergeCell ref="D3:D4"/>
    <mergeCell ref="E3:E4"/>
    <mergeCell ref="F3:F4"/>
    <mergeCell ref="G3:I4"/>
    <mergeCell ref="J3:J4"/>
  </mergeCells>
  <phoneticPr fontId="2" type="noConversion"/>
  <pageMargins left="0.32" right="0.31" top="0.65" bottom="0.28999999999999998" header="0.31496062992125984" footer="0.26"/>
  <pageSetup paperSize="8" scale="90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4"/>
  <sheetViews>
    <sheetView showGridLines="0" showRuler="0" zoomScale="80" zoomScaleNormal="80" zoomScalePageLayoutView="80" workbookViewId="0">
      <selection activeCell="A2" sqref="A2"/>
    </sheetView>
  </sheetViews>
  <sheetFormatPr defaultRowHeight="16.5" customHeight="1" x14ac:dyDescent="0.15"/>
  <cols>
    <col min="1" max="2" width="7.109375" style="3" customWidth="1"/>
    <col min="3" max="3" width="10.88671875" style="3" customWidth="1"/>
    <col min="4" max="4" width="14.5546875" style="68" customWidth="1"/>
    <col min="5" max="5" width="16" style="68" bestFit="1" customWidth="1"/>
    <col min="6" max="6" width="13.33203125" style="71" customWidth="1"/>
    <col min="7" max="7" width="17.33203125" style="4" customWidth="1"/>
    <col min="8" max="8" width="18.6640625" style="5" customWidth="1"/>
    <col min="9" max="9" width="10.6640625" style="67" customWidth="1"/>
    <col min="10" max="10" width="13.21875" style="71" customWidth="1"/>
    <col min="11" max="16384" width="8.88671875" style="2"/>
  </cols>
  <sheetData>
    <row r="1" spans="1:10" ht="31.5" customHeight="1" x14ac:dyDescent="0.15">
      <c r="A1" s="431" t="s">
        <v>1676</v>
      </c>
      <c r="B1" s="431"/>
      <c r="C1" s="431"/>
      <c r="D1" s="431"/>
      <c r="E1" s="431"/>
      <c r="F1" s="431"/>
      <c r="G1" s="431"/>
      <c r="H1" s="431"/>
      <c r="I1" s="431"/>
      <c r="J1" s="431"/>
    </row>
    <row r="2" spans="1:10" ht="27" customHeight="1" x14ac:dyDescent="0.15">
      <c r="J2" s="55" t="s">
        <v>1263</v>
      </c>
    </row>
    <row r="3" spans="1:10" ht="19.350000000000001" customHeight="1" x14ac:dyDescent="0.15">
      <c r="A3" s="438" t="s">
        <v>1264</v>
      </c>
      <c r="B3" s="439"/>
      <c r="C3" s="440"/>
      <c r="D3" s="447" t="s">
        <v>1265</v>
      </c>
      <c r="E3" s="447" t="s">
        <v>1266</v>
      </c>
      <c r="F3" s="432" t="s">
        <v>1267</v>
      </c>
      <c r="G3" s="441" t="s">
        <v>1268</v>
      </c>
      <c r="H3" s="442"/>
      <c r="I3" s="443"/>
      <c r="J3" s="432" t="s">
        <v>1269</v>
      </c>
    </row>
    <row r="4" spans="1:10" ht="19.350000000000001" customHeight="1" thickBot="1" x14ac:dyDescent="0.2">
      <c r="A4" s="124" t="s">
        <v>1270</v>
      </c>
      <c r="B4" s="317" t="s">
        <v>1271</v>
      </c>
      <c r="C4" s="317" t="s">
        <v>1272</v>
      </c>
      <c r="D4" s="449"/>
      <c r="E4" s="449"/>
      <c r="F4" s="460"/>
      <c r="G4" s="461"/>
      <c r="H4" s="462"/>
      <c r="I4" s="463"/>
      <c r="J4" s="460"/>
    </row>
    <row r="5" spans="1:10" ht="19.7" customHeight="1" thickBot="1" x14ac:dyDescent="0.2">
      <c r="A5" s="145" t="s">
        <v>1273</v>
      </c>
      <c r="B5" s="34"/>
      <c r="C5" s="34" t="s">
        <v>1274</v>
      </c>
      <c r="D5" s="322">
        <f>D6+D29+D32</f>
        <v>354821794</v>
      </c>
      <c r="E5" s="322">
        <f>E6+E29+E32</f>
        <v>308367386</v>
      </c>
      <c r="F5" s="158"/>
      <c r="G5" s="254"/>
      <c r="H5" s="36"/>
      <c r="I5" s="150"/>
      <c r="J5" s="76"/>
    </row>
    <row r="6" spans="1:10" ht="19.7" customHeight="1" x14ac:dyDescent="0.15">
      <c r="A6" s="316"/>
      <c r="B6" s="316" t="s">
        <v>1275</v>
      </c>
      <c r="C6" s="323" t="s">
        <v>1276</v>
      </c>
      <c r="D6" s="324">
        <f>SUM(D7:D28)</f>
        <v>71540000</v>
      </c>
      <c r="E6" s="324">
        <f>SUM(E7:E28)</f>
        <v>62678526</v>
      </c>
      <c r="F6" s="325"/>
      <c r="G6" s="94"/>
      <c r="H6" s="9"/>
      <c r="I6" s="56"/>
      <c r="J6" s="88"/>
    </row>
    <row r="7" spans="1:10" ht="19.7" customHeight="1" x14ac:dyDescent="0.15">
      <c r="A7" s="316"/>
      <c r="B7" s="316"/>
      <c r="C7" s="316" t="s">
        <v>1277</v>
      </c>
      <c r="D7" s="26">
        <v>480000</v>
      </c>
      <c r="E7" s="26">
        <v>378000</v>
      </c>
      <c r="F7" s="129"/>
      <c r="G7" s="10" t="s">
        <v>1278</v>
      </c>
      <c r="H7" s="11"/>
      <c r="I7" s="57"/>
      <c r="J7" s="75" t="s">
        <v>1279</v>
      </c>
    </row>
    <row r="8" spans="1:10" ht="19.7" customHeight="1" x14ac:dyDescent="0.15">
      <c r="A8" s="316"/>
      <c r="B8" s="316"/>
      <c r="C8" s="12" t="s">
        <v>1280</v>
      </c>
      <c r="D8" s="51">
        <v>1200000</v>
      </c>
      <c r="E8" s="51">
        <v>616900</v>
      </c>
      <c r="F8" s="74"/>
      <c r="G8" s="387" t="s">
        <v>1281</v>
      </c>
      <c r="H8" s="14"/>
      <c r="I8" s="58"/>
      <c r="J8" s="74"/>
    </row>
    <row r="9" spans="1:10" ht="19.7" customHeight="1" x14ac:dyDescent="0.15">
      <c r="A9" s="316"/>
      <c r="B9" s="316"/>
      <c r="C9" s="316" t="s">
        <v>1282</v>
      </c>
      <c r="D9" s="26">
        <v>3600000</v>
      </c>
      <c r="E9" s="26">
        <v>4278920</v>
      </c>
      <c r="F9" s="75"/>
      <c r="G9" s="10" t="s">
        <v>1283</v>
      </c>
      <c r="H9" s="11"/>
      <c r="I9" s="57"/>
      <c r="J9" s="75"/>
    </row>
    <row r="10" spans="1:10" ht="19.7" customHeight="1" x14ac:dyDescent="0.15">
      <c r="A10" s="316"/>
      <c r="B10" s="316"/>
      <c r="C10" s="12" t="s">
        <v>1284</v>
      </c>
      <c r="D10" s="51">
        <v>2400000</v>
      </c>
      <c r="E10" s="51">
        <v>1560900</v>
      </c>
      <c r="F10" s="74"/>
      <c r="G10" s="387" t="s">
        <v>1285</v>
      </c>
      <c r="H10" s="14"/>
      <c r="I10" s="58"/>
      <c r="J10" s="74"/>
    </row>
    <row r="11" spans="1:10" ht="19.7" customHeight="1" x14ac:dyDescent="0.15">
      <c r="A11" s="316"/>
      <c r="B11" s="316"/>
      <c r="C11" s="12" t="s">
        <v>1286</v>
      </c>
      <c r="D11" s="51">
        <v>6000000</v>
      </c>
      <c r="E11" s="51">
        <v>4085000</v>
      </c>
      <c r="F11" s="120"/>
      <c r="G11" s="387" t="s">
        <v>1287</v>
      </c>
      <c r="H11" s="14"/>
      <c r="I11" s="58"/>
      <c r="J11" s="74" t="s">
        <v>1279</v>
      </c>
    </row>
    <row r="12" spans="1:10" ht="19.7" customHeight="1" x14ac:dyDescent="0.15">
      <c r="A12" s="316"/>
      <c r="B12" s="316"/>
      <c r="C12" s="6" t="s">
        <v>1288</v>
      </c>
      <c r="D12" s="53">
        <v>5000000</v>
      </c>
      <c r="E12" s="53">
        <v>7903550</v>
      </c>
      <c r="F12" s="72"/>
      <c r="G12" s="8" t="s">
        <v>1289</v>
      </c>
      <c r="H12" s="9"/>
      <c r="I12" s="56"/>
      <c r="J12" s="72"/>
    </row>
    <row r="13" spans="1:10" ht="19.7" customHeight="1" x14ac:dyDescent="0.15">
      <c r="A13" s="316"/>
      <c r="B13" s="316"/>
      <c r="C13" s="12" t="s">
        <v>1290</v>
      </c>
      <c r="D13" s="51">
        <v>12000000</v>
      </c>
      <c r="E13" s="51">
        <v>7731712</v>
      </c>
      <c r="F13" s="120"/>
      <c r="G13" s="387" t="s">
        <v>1291</v>
      </c>
      <c r="H13" s="14"/>
      <c r="I13" s="58"/>
      <c r="J13" s="74" t="s">
        <v>1279</v>
      </c>
    </row>
    <row r="14" spans="1:10" ht="19.7" customHeight="1" x14ac:dyDescent="0.15">
      <c r="A14" s="316"/>
      <c r="B14" s="316"/>
      <c r="C14" s="12" t="s">
        <v>1292</v>
      </c>
      <c r="D14" s="51">
        <v>600000</v>
      </c>
      <c r="E14" s="51">
        <v>600000</v>
      </c>
      <c r="F14" s="74"/>
      <c r="G14" s="387" t="s">
        <v>1293</v>
      </c>
      <c r="H14" s="14"/>
      <c r="I14" s="58"/>
      <c r="J14" s="74"/>
    </row>
    <row r="15" spans="1:10" ht="19.7" customHeight="1" x14ac:dyDescent="0.15">
      <c r="A15" s="316"/>
      <c r="B15" s="316"/>
      <c r="C15" s="12" t="s">
        <v>1294</v>
      </c>
      <c r="D15" s="51">
        <v>3300000</v>
      </c>
      <c r="E15" s="51"/>
      <c r="F15" s="74"/>
      <c r="G15" s="387"/>
      <c r="H15" s="14"/>
      <c r="I15" s="58"/>
      <c r="J15" s="74"/>
    </row>
    <row r="16" spans="1:10" ht="19.7" customHeight="1" x14ac:dyDescent="0.15">
      <c r="A16" s="316"/>
      <c r="B16" s="316"/>
      <c r="C16" s="12" t="s">
        <v>1295</v>
      </c>
      <c r="D16" s="51">
        <v>2500000</v>
      </c>
      <c r="E16" s="51"/>
      <c r="F16" s="74"/>
      <c r="G16" s="387"/>
      <c r="H16" s="14"/>
      <c r="I16" s="58"/>
      <c r="J16" s="74"/>
    </row>
    <row r="17" spans="1:10" ht="19.7" customHeight="1" x14ac:dyDescent="0.15">
      <c r="A17" s="316"/>
      <c r="B17" s="316"/>
      <c r="C17" s="12" t="s">
        <v>1296</v>
      </c>
      <c r="D17" s="51">
        <v>1800000</v>
      </c>
      <c r="E17" s="51">
        <v>1070670</v>
      </c>
      <c r="F17" s="120"/>
      <c r="G17" s="387" t="s">
        <v>1297</v>
      </c>
      <c r="H17" s="14"/>
      <c r="I17" s="58"/>
      <c r="J17" s="74" t="s">
        <v>1279</v>
      </c>
    </row>
    <row r="18" spans="1:10" ht="19.7" customHeight="1" x14ac:dyDescent="0.15">
      <c r="A18" s="316"/>
      <c r="B18" s="316"/>
      <c r="C18" s="12" t="s">
        <v>1298</v>
      </c>
      <c r="D18" s="51">
        <v>3000000</v>
      </c>
      <c r="E18" s="51">
        <v>2757270</v>
      </c>
      <c r="F18" s="74"/>
      <c r="G18" s="387" t="s">
        <v>1299</v>
      </c>
      <c r="H18" s="14"/>
      <c r="I18" s="58"/>
      <c r="J18" s="74"/>
    </row>
    <row r="19" spans="1:10" ht="19.7" customHeight="1" x14ac:dyDescent="0.15">
      <c r="A19" s="316"/>
      <c r="B19" s="316"/>
      <c r="C19" s="12" t="s">
        <v>1300</v>
      </c>
      <c r="D19" s="51">
        <v>1920000</v>
      </c>
      <c r="E19" s="51">
        <v>1957028</v>
      </c>
      <c r="F19" s="74"/>
      <c r="G19" s="387" t="s">
        <v>1301</v>
      </c>
      <c r="H19" s="14"/>
      <c r="I19" s="58"/>
      <c r="J19" s="74"/>
    </row>
    <row r="20" spans="1:10" ht="19.7" customHeight="1" x14ac:dyDescent="0.15">
      <c r="A20" s="316"/>
      <c r="B20" s="316"/>
      <c r="C20" s="12" t="s">
        <v>1302</v>
      </c>
      <c r="D20" s="51">
        <v>4000000</v>
      </c>
      <c r="E20" s="51">
        <v>5974976</v>
      </c>
      <c r="F20" s="74"/>
      <c r="G20" s="387" t="s">
        <v>1303</v>
      </c>
      <c r="H20" s="14"/>
      <c r="I20" s="58"/>
      <c r="J20" s="326"/>
    </row>
    <row r="21" spans="1:10" ht="19.7" customHeight="1" x14ac:dyDescent="0.15">
      <c r="A21" s="316"/>
      <c r="B21" s="316"/>
      <c r="C21" s="12" t="s">
        <v>1304</v>
      </c>
      <c r="D21" s="51">
        <v>4320000</v>
      </c>
      <c r="E21" s="51">
        <v>1870000</v>
      </c>
      <c r="F21" s="74"/>
      <c r="G21" s="387" t="s">
        <v>1305</v>
      </c>
      <c r="H21" s="14"/>
      <c r="I21" s="58"/>
      <c r="J21" s="326"/>
    </row>
    <row r="22" spans="1:10" ht="19.7" customHeight="1" x14ac:dyDescent="0.15">
      <c r="A22" s="316"/>
      <c r="B22" s="316"/>
      <c r="C22" s="12" t="s">
        <v>1306</v>
      </c>
      <c r="D22" s="51">
        <v>400000</v>
      </c>
      <c r="E22" s="51">
        <v>1397150</v>
      </c>
      <c r="F22" s="74"/>
      <c r="G22" s="387" t="s">
        <v>1307</v>
      </c>
      <c r="H22" s="14"/>
      <c r="I22" s="58"/>
      <c r="J22" s="74"/>
    </row>
    <row r="23" spans="1:10" ht="19.7" customHeight="1" x14ac:dyDescent="0.15">
      <c r="A23" s="316"/>
      <c r="B23" s="316"/>
      <c r="C23" s="12" t="s">
        <v>1308</v>
      </c>
      <c r="D23" s="51">
        <v>2040000</v>
      </c>
      <c r="E23" s="51">
        <v>2290000</v>
      </c>
      <c r="F23" s="74"/>
      <c r="G23" s="387" t="s">
        <v>1309</v>
      </c>
      <c r="H23" s="14"/>
      <c r="I23" s="58"/>
      <c r="J23" s="74"/>
    </row>
    <row r="24" spans="1:10" ht="19.7" customHeight="1" x14ac:dyDescent="0.15">
      <c r="A24" s="316"/>
      <c r="B24" s="316"/>
      <c r="C24" s="12" t="s">
        <v>1310</v>
      </c>
      <c r="D24" s="51">
        <v>1980000</v>
      </c>
      <c r="E24" s="51">
        <v>1980000</v>
      </c>
      <c r="F24" s="74"/>
      <c r="G24" s="387" t="s">
        <v>1311</v>
      </c>
      <c r="H24" s="14"/>
      <c r="I24" s="58"/>
      <c r="J24" s="327"/>
    </row>
    <row r="25" spans="1:10" ht="19.7" customHeight="1" x14ac:dyDescent="0.15">
      <c r="A25" s="316"/>
      <c r="B25" s="316"/>
      <c r="C25" s="12" t="s">
        <v>1312</v>
      </c>
      <c r="D25" s="51">
        <v>15000000</v>
      </c>
      <c r="E25" s="51">
        <v>9173650</v>
      </c>
      <c r="F25" s="74"/>
      <c r="G25" s="387" t="s">
        <v>1313</v>
      </c>
      <c r="H25" s="14"/>
      <c r="I25" s="58"/>
      <c r="J25" s="328"/>
    </row>
    <row r="26" spans="1:10" ht="19.7" customHeight="1" x14ac:dyDescent="0.15">
      <c r="A26" s="316"/>
      <c r="B26" s="316"/>
      <c r="C26" s="12" t="s">
        <v>1314</v>
      </c>
      <c r="D26" s="51"/>
      <c r="E26" s="51">
        <v>994400</v>
      </c>
      <c r="F26" s="74"/>
      <c r="G26" s="387" t="s">
        <v>1315</v>
      </c>
      <c r="H26" s="14"/>
      <c r="I26" s="58"/>
      <c r="J26" s="328"/>
    </row>
    <row r="27" spans="1:10" ht="19.7" customHeight="1" x14ac:dyDescent="0.15">
      <c r="A27" s="316"/>
      <c r="B27" s="316"/>
      <c r="C27" s="12" t="s">
        <v>1316</v>
      </c>
      <c r="D27" s="51"/>
      <c r="E27" s="51">
        <v>2116400</v>
      </c>
      <c r="F27" s="74"/>
      <c r="G27" s="387" t="s">
        <v>1317</v>
      </c>
      <c r="H27" s="14"/>
      <c r="I27" s="58"/>
      <c r="J27" s="328"/>
    </row>
    <row r="28" spans="1:10" ht="19.7" customHeight="1" thickBot="1" x14ac:dyDescent="0.2">
      <c r="A28" s="316"/>
      <c r="B28" s="316"/>
      <c r="C28" s="12" t="s">
        <v>1318</v>
      </c>
      <c r="D28" s="51"/>
      <c r="E28" s="51">
        <v>3942000</v>
      </c>
      <c r="F28" s="74"/>
      <c r="G28" s="387" t="s">
        <v>1319</v>
      </c>
      <c r="H28" s="14"/>
      <c r="I28" s="58"/>
      <c r="J28" s="328"/>
    </row>
    <row r="29" spans="1:10" ht="19.7" customHeight="1" x14ac:dyDescent="0.15">
      <c r="A29" s="316"/>
      <c r="B29" s="145" t="s">
        <v>1320</v>
      </c>
      <c r="C29" s="329" t="s">
        <v>1276</v>
      </c>
      <c r="D29" s="330">
        <f>SUM(D30:D31)</f>
        <v>214184450</v>
      </c>
      <c r="E29" s="330">
        <f>SUM(E30:E31)</f>
        <v>212124950</v>
      </c>
      <c r="F29" s="331"/>
      <c r="G29" s="138"/>
      <c r="H29" s="139"/>
      <c r="I29" s="175"/>
      <c r="J29" s="278"/>
    </row>
    <row r="30" spans="1:10" ht="19.7" customHeight="1" x14ac:dyDescent="0.15">
      <c r="A30" s="316"/>
      <c r="B30" s="316"/>
      <c r="C30" s="54" t="s">
        <v>1321</v>
      </c>
      <c r="D30" s="88">
        <v>196184450</v>
      </c>
      <c r="E30" s="88">
        <v>192624950</v>
      </c>
      <c r="F30" s="129"/>
      <c r="G30" s="387" t="s">
        <v>1322</v>
      </c>
      <c r="H30" s="9"/>
      <c r="I30" s="56"/>
      <c r="J30" s="130"/>
    </row>
    <row r="31" spans="1:10" ht="19.7" customHeight="1" thickBot="1" x14ac:dyDescent="0.2">
      <c r="A31" s="316"/>
      <c r="B31" s="316"/>
      <c r="C31" s="101" t="s">
        <v>1323</v>
      </c>
      <c r="D31" s="102">
        <v>18000000</v>
      </c>
      <c r="E31" s="102">
        <v>19500000</v>
      </c>
      <c r="F31" s="157"/>
      <c r="G31" s="10" t="s">
        <v>1324</v>
      </c>
      <c r="H31" s="11"/>
      <c r="I31" s="57"/>
      <c r="J31" s="277"/>
    </row>
    <row r="32" spans="1:10" ht="19.7" customHeight="1" x14ac:dyDescent="0.15">
      <c r="A32" s="316"/>
      <c r="B32" s="145" t="s">
        <v>1325</v>
      </c>
      <c r="C32" s="332" t="s">
        <v>1276</v>
      </c>
      <c r="D32" s="333">
        <f>SUM(D33:D38)</f>
        <v>69097344</v>
      </c>
      <c r="E32" s="333">
        <f>SUM(E33:E38)</f>
        <v>33563910</v>
      </c>
      <c r="F32" s="331"/>
      <c r="G32" s="176"/>
      <c r="H32" s="139"/>
      <c r="I32" s="175"/>
      <c r="J32" s="177"/>
    </row>
    <row r="33" spans="1:10" ht="19.7" customHeight="1" x14ac:dyDescent="0.15">
      <c r="A33" s="316"/>
      <c r="B33" s="316"/>
      <c r="C33" s="6" t="s">
        <v>1326</v>
      </c>
      <c r="D33" s="113">
        <v>22800000</v>
      </c>
      <c r="E33" s="113">
        <v>8372430</v>
      </c>
      <c r="F33" s="129"/>
      <c r="G33" s="387" t="s">
        <v>1327</v>
      </c>
      <c r="H33" s="14"/>
      <c r="I33" s="58"/>
      <c r="J33" s="115"/>
    </row>
    <row r="34" spans="1:10" ht="19.7" customHeight="1" x14ac:dyDescent="0.15">
      <c r="A34" s="316"/>
      <c r="B34" s="316"/>
      <c r="C34" s="6" t="s">
        <v>1328</v>
      </c>
      <c r="D34" s="111">
        <v>18000000</v>
      </c>
      <c r="E34" s="111">
        <v>8838440</v>
      </c>
      <c r="F34" s="129"/>
      <c r="G34" s="8" t="s">
        <v>1329</v>
      </c>
      <c r="H34" s="9"/>
      <c r="I34" s="58"/>
      <c r="J34" s="116"/>
    </row>
    <row r="35" spans="1:10" ht="19.7" customHeight="1" x14ac:dyDescent="0.15">
      <c r="A35" s="316"/>
      <c r="B35" s="316"/>
      <c r="C35" s="6" t="s">
        <v>1330</v>
      </c>
      <c r="D35" s="111">
        <v>5640000</v>
      </c>
      <c r="E35" s="111">
        <v>6485350</v>
      </c>
      <c r="F35" s="129"/>
      <c r="G35" s="8" t="s">
        <v>1331</v>
      </c>
      <c r="H35" s="9"/>
      <c r="I35" s="58"/>
      <c r="J35" s="116"/>
    </row>
    <row r="36" spans="1:10" ht="19.7" customHeight="1" x14ac:dyDescent="0.15">
      <c r="A36" s="316"/>
      <c r="B36" s="316"/>
      <c r="C36" s="12" t="s">
        <v>1332</v>
      </c>
      <c r="D36" s="113">
        <v>12757344</v>
      </c>
      <c r="E36" s="113">
        <v>6767700</v>
      </c>
      <c r="F36" s="129"/>
      <c r="G36" s="387" t="s">
        <v>1333</v>
      </c>
      <c r="H36" s="14"/>
      <c r="I36" s="58"/>
      <c r="J36" s="116"/>
    </row>
    <row r="37" spans="1:10" ht="19.7" customHeight="1" x14ac:dyDescent="0.15">
      <c r="A37" s="316"/>
      <c r="B37" s="316"/>
      <c r="C37" s="6" t="s">
        <v>1334</v>
      </c>
      <c r="D37" s="111">
        <v>9600000</v>
      </c>
      <c r="E37" s="111">
        <v>2899990</v>
      </c>
      <c r="F37" s="129"/>
      <c r="G37" s="8" t="s">
        <v>1335</v>
      </c>
      <c r="H37" s="11"/>
      <c r="I37" s="57"/>
      <c r="J37" s="116"/>
    </row>
    <row r="38" spans="1:10" ht="19.7" customHeight="1" thickBot="1" x14ac:dyDescent="0.2">
      <c r="A38" s="316"/>
      <c r="B38" s="316"/>
      <c r="C38" s="12" t="s">
        <v>1337</v>
      </c>
      <c r="D38" s="113">
        <v>300000</v>
      </c>
      <c r="E38" s="113">
        <v>200000</v>
      </c>
      <c r="F38" s="120"/>
      <c r="G38" s="387" t="s">
        <v>1337</v>
      </c>
      <c r="H38" s="14"/>
      <c r="I38" s="58"/>
      <c r="J38" s="115"/>
    </row>
    <row r="39" spans="1:10" ht="20.85" customHeight="1" thickBot="1" x14ac:dyDescent="0.2">
      <c r="A39" s="145" t="s">
        <v>1338</v>
      </c>
      <c r="B39" s="34" t="s">
        <v>1339</v>
      </c>
      <c r="C39" s="34" t="s">
        <v>1274</v>
      </c>
      <c r="D39" s="70">
        <f>D40+D74+D91+D114+D140+D173+D200+D218+D241+D260</f>
        <v>391556000</v>
      </c>
      <c r="E39" s="70">
        <f>E40+E74+E91+E114+E140+E173+E200+E218+E241+E260</f>
        <v>395864589</v>
      </c>
      <c r="F39" s="70"/>
      <c r="G39" s="254"/>
      <c r="H39" s="36"/>
      <c r="I39" s="150"/>
      <c r="J39" s="70"/>
    </row>
    <row r="40" spans="1:10" ht="20.85" customHeight="1" x14ac:dyDescent="0.15">
      <c r="A40" s="316"/>
      <c r="B40" s="127" t="s">
        <v>1340</v>
      </c>
      <c r="C40" s="334" t="s">
        <v>1276</v>
      </c>
      <c r="D40" s="335">
        <f>SUM(D41:D73)</f>
        <v>60948000</v>
      </c>
      <c r="E40" s="335">
        <f>SUM(E41:E73)</f>
        <v>96784210</v>
      </c>
      <c r="F40" s="128"/>
      <c r="G40" s="94"/>
      <c r="H40" s="9"/>
      <c r="I40" s="56"/>
      <c r="J40" s="72"/>
    </row>
    <row r="41" spans="1:10" ht="20.85" customHeight="1" x14ac:dyDescent="0.15">
      <c r="A41" s="316"/>
      <c r="B41" s="127" t="s">
        <v>1341</v>
      </c>
      <c r="C41" s="336" t="s">
        <v>862</v>
      </c>
      <c r="D41" s="51">
        <v>4800000</v>
      </c>
      <c r="E41" s="51">
        <v>4480000</v>
      </c>
      <c r="F41" s="120"/>
      <c r="G41" s="387" t="s">
        <v>1045</v>
      </c>
      <c r="H41" s="19"/>
      <c r="I41" s="60"/>
      <c r="J41" s="74"/>
    </row>
    <row r="42" spans="1:10" ht="20.85" customHeight="1" x14ac:dyDescent="0.15">
      <c r="A42" s="316"/>
      <c r="B42" s="127" t="s">
        <v>1342</v>
      </c>
      <c r="C42" s="336" t="s">
        <v>863</v>
      </c>
      <c r="D42" s="51">
        <v>2160000</v>
      </c>
      <c r="E42" s="51">
        <v>1620000</v>
      </c>
      <c r="F42" s="74"/>
      <c r="G42" s="387" t="s">
        <v>1046</v>
      </c>
      <c r="H42" s="19"/>
      <c r="I42" s="60"/>
      <c r="J42" s="74"/>
    </row>
    <row r="43" spans="1:10" ht="20.85" customHeight="1" x14ac:dyDescent="0.15">
      <c r="A43" s="316"/>
      <c r="B43" s="366" t="s">
        <v>1343</v>
      </c>
      <c r="C43" s="12" t="s">
        <v>1344</v>
      </c>
      <c r="D43" s="51">
        <v>1000000</v>
      </c>
      <c r="E43" s="51">
        <v>860000</v>
      </c>
      <c r="F43" s="74"/>
      <c r="G43" s="387" t="s">
        <v>1047</v>
      </c>
      <c r="H43" s="19"/>
      <c r="I43" s="60"/>
      <c r="J43" s="74"/>
    </row>
    <row r="44" spans="1:10" ht="20.85" customHeight="1" x14ac:dyDescent="0.15">
      <c r="A44" s="316"/>
      <c r="B44" s="154"/>
      <c r="C44" s="12" t="s">
        <v>864</v>
      </c>
      <c r="D44" s="51">
        <v>720000</v>
      </c>
      <c r="E44" s="51">
        <v>900000</v>
      </c>
      <c r="F44" s="74"/>
      <c r="G44" s="387" t="s">
        <v>1048</v>
      </c>
      <c r="H44" s="19"/>
      <c r="I44" s="60"/>
      <c r="J44" s="74"/>
    </row>
    <row r="45" spans="1:10" ht="20.85" customHeight="1" x14ac:dyDescent="0.15">
      <c r="A45" s="316"/>
      <c r="B45" s="316"/>
      <c r="C45" s="12" t="s">
        <v>865</v>
      </c>
      <c r="D45" s="51">
        <v>450000</v>
      </c>
      <c r="E45" s="51">
        <v>600000</v>
      </c>
      <c r="F45" s="74"/>
      <c r="G45" s="387" t="s">
        <v>1049</v>
      </c>
      <c r="H45" s="19"/>
      <c r="I45" s="60"/>
      <c r="J45" s="74"/>
    </row>
    <row r="46" spans="1:10" ht="20.85" customHeight="1" x14ac:dyDescent="0.15">
      <c r="A46" s="316"/>
      <c r="B46" s="316"/>
      <c r="C46" s="12" t="s">
        <v>1345</v>
      </c>
      <c r="D46" s="51"/>
      <c r="E46" s="51">
        <v>600000</v>
      </c>
      <c r="F46" s="74"/>
      <c r="G46" s="387" t="s">
        <v>1050</v>
      </c>
      <c r="H46" s="19"/>
      <c r="I46" s="60"/>
      <c r="J46" s="74"/>
    </row>
    <row r="47" spans="1:10" ht="20.85" customHeight="1" x14ac:dyDescent="0.15">
      <c r="A47" s="316"/>
      <c r="B47" s="316"/>
      <c r="C47" s="12" t="s">
        <v>866</v>
      </c>
      <c r="D47" s="51">
        <v>1650000</v>
      </c>
      <c r="E47" s="51"/>
      <c r="F47" s="74"/>
      <c r="G47" s="387"/>
      <c r="H47" s="19"/>
      <c r="I47" s="60"/>
      <c r="J47" s="74"/>
    </row>
    <row r="48" spans="1:10" ht="20.85" customHeight="1" x14ac:dyDescent="0.15">
      <c r="A48" s="316"/>
      <c r="B48" s="316"/>
      <c r="C48" s="12" t="s">
        <v>867</v>
      </c>
      <c r="D48" s="51">
        <v>2250000</v>
      </c>
      <c r="E48" s="51">
        <v>1900000</v>
      </c>
      <c r="F48" s="74"/>
      <c r="G48" s="387" t="s">
        <v>1051</v>
      </c>
      <c r="H48" s="19"/>
      <c r="I48" s="60"/>
      <c r="J48" s="74"/>
    </row>
    <row r="49" spans="1:10" ht="20.85" customHeight="1" x14ac:dyDescent="0.15">
      <c r="A49" s="316"/>
      <c r="B49" s="316"/>
      <c r="C49" s="12" t="s">
        <v>868</v>
      </c>
      <c r="D49" s="51">
        <v>1260000</v>
      </c>
      <c r="E49" s="51">
        <v>1548700</v>
      </c>
      <c r="F49" s="74"/>
      <c r="G49" s="387" t="s">
        <v>1052</v>
      </c>
      <c r="H49" s="19"/>
      <c r="I49" s="60"/>
      <c r="J49" s="74"/>
    </row>
    <row r="50" spans="1:10" ht="20.85" customHeight="1" x14ac:dyDescent="0.15">
      <c r="A50" s="316"/>
      <c r="B50" s="316"/>
      <c r="C50" s="12" t="s">
        <v>869</v>
      </c>
      <c r="D50" s="51">
        <v>1260000</v>
      </c>
      <c r="E50" s="51"/>
      <c r="F50" s="74"/>
      <c r="G50" s="387"/>
      <c r="H50" s="19"/>
      <c r="I50" s="60"/>
      <c r="J50" s="74"/>
    </row>
    <row r="51" spans="1:10" ht="20.85" customHeight="1" x14ac:dyDescent="0.15">
      <c r="A51" s="316"/>
      <c r="B51" s="316"/>
      <c r="C51" s="12" t="s">
        <v>870</v>
      </c>
      <c r="D51" s="51">
        <v>600000</v>
      </c>
      <c r="E51" s="51"/>
      <c r="F51" s="74"/>
      <c r="G51" s="387"/>
      <c r="H51" s="19"/>
      <c r="I51" s="60"/>
      <c r="J51" s="74"/>
    </row>
    <row r="52" spans="1:10" ht="20.85" customHeight="1" x14ac:dyDescent="0.15">
      <c r="A52" s="316"/>
      <c r="B52" s="316"/>
      <c r="C52" s="12" t="s">
        <v>871</v>
      </c>
      <c r="D52" s="51">
        <v>1100000</v>
      </c>
      <c r="E52" s="51">
        <v>1100000</v>
      </c>
      <c r="F52" s="74"/>
      <c r="G52" s="387" t="s">
        <v>1053</v>
      </c>
      <c r="H52" s="19"/>
      <c r="I52" s="60"/>
      <c r="J52" s="74"/>
    </row>
    <row r="53" spans="1:10" ht="20.85" customHeight="1" x14ac:dyDescent="0.15">
      <c r="A53" s="316"/>
      <c r="B53" s="316"/>
      <c r="C53" s="12" t="s">
        <v>872</v>
      </c>
      <c r="D53" s="51">
        <v>1760000</v>
      </c>
      <c r="E53" s="51">
        <v>1650000</v>
      </c>
      <c r="F53" s="74"/>
      <c r="G53" s="387" t="s">
        <v>1054</v>
      </c>
      <c r="H53" s="19"/>
      <c r="I53" s="60"/>
      <c r="J53" s="74"/>
    </row>
    <row r="54" spans="1:10" ht="20.85" customHeight="1" x14ac:dyDescent="0.15">
      <c r="A54" s="316"/>
      <c r="B54" s="316"/>
      <c r="C54" s="12" t="s">
        <v>873</v>
      </c>
      <c r="D54" s="51">
        <v>2475000</v>
      </c>
      <c r="E54" s="51">
        <v>2089800</v>
      </c>
      <c r="F54" s="74"/>
      <c r="G54" s="387" t="s">
        <v>1346</v>
      </c>
      <c r="H54" s="19"/>
      <c r="I54" s="60"/>
      <c r="J54" s="74"/>
    </row>
    <row r="55" spans="1:10" ht="20.85" customHeight="1" x14ac:dyDescent="0.15">
      <c r="A55" s="316"/>
      <c r="B55" s="316"/>
      <c r="C55" s="12" t="s">
        <v>874</v>
      </c>
      <c r="D55" s="51">
        <v>88000</v>
      </c>
      <c r="E55" s="51"/>
      <c r="F55" s="74"/>
      <c r="G55" s="387"/>
      <c r="H55" s="19"/>
      <c r="I55" s="60"/>
      <c r="J55" s="74"/>
    </row>
    <row r="56" spans="1:10" ht="20.85" customHeight="1" x14ac:dyDescent="0.15">
      <c r="A56" s="316"/>
      <c r="B56" s="316"/>
      <c r="C56" s="12" t="s">
        <v>875</v>
      </c>
      <c r="D56" s="51">
        <v>1100000</v>
      </c>
      <c r="E56" s="51">
        <v>2030000</v>
      </c>
      <c r="F56" s="74"/>
      <c r="G56" s="387" t="s">
        <v>1055</v>
      </c>
      <c r="H56" s="19"/>
      <c r="I56" s="60"/>
      <c r="J56" s="74"/>
    </row>
    <row r="57" spans="1:10" ht="20.85" customHeight="1" x14ac:dyDescent="0.15">
      <c r="A57" s="316"/>
      <c r="B57" s="316"/>
      <c r="C57" s="12" t="s">
        <v>876</v>
      </c>
      <c r="D57" s="51">
        <v>4500000</v>
      </c>
      <c r="E57" s="51">
        <v>4500000</v>
      </c>
      <c r="F57" s="74"/>
      <c r="G57" s="387" t="s">
        <v>1056</v>
      </c>
      <c r="H57" s="19"/>
      <c r="I57" s="60"/>
      <c r="J57" s="74"/>
    </row>
    <row r="58" spans="1:10" ht="20.85" customHeight="1" x14ac:dyDescent="0.15">
      <c r="A58" s="316"/>
      <c r="B58" s="316"/>
      <c r="C58" s="12" t="s">
        <v>1282</v>
      </c>
      <c r="D58" s="51">
        <v>500000</v>
      </c>
      <c r="E58" s="51">
        <v>1101420</v>
      </c>
      <c r="F58" s="74"/>
      <c r="G58" s="387" t="s">
        <v>1057</v>
      </c>
      <c r="H58" s="19"/>
      <c r="I58" s="60"/>
      <c r="J58" s="74"/>
    </row>
    <row r="59" spans="1:10" ht="20.85" customHeight="1" x14ac:dyDescent="0.15">
      <c r="A59" s="316"/>
      <c r="B59" s="316"/>
      <c r="C59" s="12" t="s">
        <v>877</v>
      </c>
      <c r="D59" s="51">
        <v>1650000</v>
      </c>
      <c r="E59" s="51">
        <v>990000</v>
      </c>
      <c r="F59" s="74"/>
      <c r="G59" s="387" t="s">
        <v>1058</v>
      </c>
      <c r="H59" s="19"/>
      <c r="I59" s="60"/>
      <c r="J59" s="74"/>
    </row>
    <row r="60" spans="1:10" ht="20.85" customHeight="1" x14ac:dyDescent="0.15">
      <c r="A60" s="316"/>
      <c r="B60" s="316"/>
      <c r="C60" s="12" t="s">
        <v>1347</v>
      </c>
      <c r="D60" s="51">
        <v>600000</v>
      </c>
      <c r="E60" s="51">
        <v>638020</v>
      </c>
      <c r="F60" s="74"/>
      <c r="G60" s="387" t="s">
        <v>1059</v>
      </c>
      <c r="H60" s="19"/>
      <c r="I60" s="60"/>
      <c r="J60" s="74"/>
    </row>
    <row r="61" spans="1:10" ht="20.85" customHeight="1" x14ac:dyDescent="0.15">
      <c r="A61" s="316"/>
      <c r="B61" s="316"/>
      <c r="C61" s="12" t="s">
        <v>879</v>
      </c>
      <c r="D61" s="51">
        <v>400000</v>
      </c>
      <c r="E61" s="51"/>
      <c r="F61" s="74"/>
      <c r="G61" s="387"/>
      <c r="H61" s="19"/>
      <c r="I61" s="60"/>
      <c r="J61" s="74"/>
    </row>
    <row r="62" spans="1:10" ht="20.85" customHeight="1" x14ac:dyDescent="0.15">
      <c r="A62" s="316"/>
      <c r="B62" s="316"/>
      <c r="C62" s="12" t="s">
        <v>880</v>
      </c>
      <c r="D62" s="51">
        <v>525000</v>
      </c>
      <c r="E62" s="51">
        <v>174270</v>
      </c>
      <c r="F62" s="120"/>
      <c r="G62" s="387" t="s">
        <v>1060</v>
      </c>
      <c r="H62" s="19"/>
      <c r="I62" s="60"/>
      <c r="J62" s="74"/>
    </row>
    <row r="63" spans="1:10" ht="20.85" customHeight="1" x14ac:dyDescent="0.15">
      <c r="A63" s="316"/>
      <c r="B63" s="316"/>
      <c r="C63" s="12" t="s">
        <v>881</v>
      </c>
      <c r="D63" s="51">
        <v>22000000</v>
      </c>
      <c r="E63" s="51">
        <v>22000000</v>
      </c>
      <c r="F63" s="74"/>
      <c r="G63" s="387" t="s">
        <v>1061</v>
      </c>
      <c r="H63" s="19"/>
      <c r="I63" s="60"/>
      <c r="J63" s="74"/>
    </row>
    <row r="64" spans="1:10" ht="20.85" customHeight="1" x14ac:dyDescent="0.15">
      <c r="A64" s="316"/>
      <c r="B64" s="316"/>
      <c r="C64" s="12" t="s">
        <v>882</v>
      </c>
      <c r="D64" s="51">
        <v>3500000</v>
      </c>
      <c r="E64" s="51"/>
      <c r="F64" s="74"/>
      <c r="G64" s="387"/>
      <c r="H64" s="19"/>
      <c r="I64" s="60"/>
      <c r="J64" s="326"/>
    </row>
    <row r="65" spans="1:10" ht="20.85" customHeight="1" x14ac:dyDescent="0.15">
      <c r="A65" s="316"/>
      <c r="B65" s="316"/>
      <c r="C65" s="12" t="s">
        <v>883</v>
      </c>
      <c r="D65" s="51">
        <v>1100000</v>
      </c>
      <c r="E65" s="51"/>
      <c r="F65" s="120"/>
      <c r="G65" s="387"/>
      <c r="H65" s="19"/>
      <c r="I65" s="60"/>
      <c r="J65" s="74"/>
    </row>
    <row r="66" spans="1:10" ht="20.85" customHeight="1" x14ac:dyDescent="0.15">
      <c r="A66" s="316"/>
      <c r="B66" s="316"/>
      <c r="C66" s="315" t="s">
        <v>884</v>
      </c>
      <c r="D66" s="69">
        <v>3500000</v>
      </c>
      <c r="E66" s="69"/>
      <c r="F66" s="73"/>
      <c r="G66" s="15"/>
      <c r="H66" s="27"/>
      <c r="I66" s="63"/>
      <c r="J66" s="73"/>
    </row>
    <row r="67" spans="1:10" ht="20.85" customHeight="1" x14ac:dyDescent="0.15">
      <c r="A67" s="316"/>
      <c r="B67" s="316"/>
      <c r="C67" s="315" t="s">
        <v>1348</v>
      </c>
      <c r="D67" s="69"/>
      <c r="E67" s="69">
        <v>396000</v>
      </c>
      <c r="F67" s="73"/>
      <c r="G67" s="15" t="s">
        <v>1062</v>
      </c>
      <c r="H67" s="27"/>
      <c r="I67" s="63"/>
      <c r="J67" s="73"/>
    </row>
    <row r="68" spans="1:10" ht="20.85" customHeight="1" x14ac:dyDescent="0.15">
      <c r="A68" s="316"/>
      <c r="B68" s="316"/>
      <c r="C68" s="315" t="s">
        <v>1349</v>
      </c>
      <c r="D68" s="69"/>
      <c r="E68" s="69">
        <v>1500000</v>
      </c>
      <c r="F68" s="73"/>
      <c r="G68" s="15" t="s">
        <v>1063</v>
      </c>
      <c r="H68" s="27"/>
      <c r="I68" s="63"/>
      <c r="J68" s="73"/>
    </row>
    <row r="69" spans="1:10" ht="20.85" customHeight="1" x14ac:dyDescent="0.15">
      <c r="A69" s="316"/>
      <c r="B69" s="316"/>
      <c r="C69" s="315" t="s">
        <v>1350</v>
      </c>
      <c r="D69" s="69"/>
      <c r="E69" s="69">
        <v>6750000</v>
      </c>
      <c r="F69" s="73"/>
      <c r="G69" s="15" t="s">
        <v>1064</v>
      </c>
      <c r="H69" s="27"/>
      <c r="I69" s="63"/>
      <c r="J69" s="73"/>
    </row>
    <row r="70" spans="1:10" ht="20.85" customHeight="1" x14ac:dyDescent="0.15">
      <c r="A70" s="316"/>
      <c r="B70" s="316"/>
      <c r="C70" s="315" t="s">
        <v>1351</v>
      </c>
      <c r="D70" s="69"/>
      <c r="E70" s="69">
        <v>7500000</v>
      </c>
      <c r="F70" s="73"/>
      <c r="G70" s="15" t="s">
        <v>1065</v>
      </c>
      <c r="H70" s="27"/>
      <c r="I70" s="63"/>
      <c r="J70" s="73"/>
    </row>
    <row r="71" spans="1:10" ht="20.85" customHeight="1" x14ac:dyDescent="0.15">
      <c r="A71" s="316"/>
      <c r="B71" s="316"/>
      <c r="C71" s="315" t="s">
        <v>1352</v>
      </c>
      <c r="D71" s="69"/>
      <c r="E71" s="69">
        <v>27500000</v>
      </c>
      <c r="F71" s="73"/>
      <c r="G71" s="15" t="s">
        <v>1066</v>
      </c>
      <c r="H71" s="27"/>
      <c r="I71" s="63"/>
      <c r="J71" s="73"/>
    </row>
    <row r="72" spans="1:10" ht="20.85" customHeight="1" x14ac:dyDescent="0.15">
      <c r="A72" s="316"/>
      <c r="B72" s="316"/>
      <c r="C72" s="315" t="s">
        <v>1353</v>
      </c>
      <c r="D72" s="69"/>
      <c r="E72" s="69">
        <v>1500000</v>
      </c>
      <c r="F72" s="73"/>
      <c r="G72" s="15" t="s">
        <v>1067</v>
      </c>
      <c r="H72" s="27"/>
      <c r="I72" s="63"/>
      <c r="J72" s="73"/>
    </row>
    <row r="73" spans="1:10" ht="20.85" customHeight="1" thickBot="1" x14ac:dyDescent="0.2">
      <c r="A73" s="316"/>
      <c r="B73" s="316"/>
      <c r="C73" s="315" t="s">
        <v>1354</v>
      </c>
      <c r="D73" s="69"/>
      <c r="E73" s="69">
        <v>2856000</v>
      </c>
      <c r="F73" s="73"/>
      <c r="G73" s="15" t="s">
        <v>1355</v>
      </c>
      <c r="H73" s="27"/>
      <c r="I73" s="63"/>
      <c r="J73" s="73"/>
    </row>
    <row r="74" spans="1:10" ht="20.85" customHeight="1" x14ac:dyDescent="0.15">
      <c r="A74" s="316"/>
      <c r="B74" s="145" t="s">
        <v>1356</v>
      </c>
      <c r="C74" s="338" t="s">
        <v>1276</v>
      </c>
      <c r="D74" s="339">
        <f>SUM(D75:D90)</f>
        <v>15590000</v>
      </c>
      <c r="E74" s="339">
        <f>SUM(E75:E90)</f>
        <v>15056300</v>
      </c>
      <c r="F74" s="166"/>
      <c r="G74" s="313"/>
      <c r="H74" s="185"/>
      <c r="I74" s="340"/>
      <c r="J74" s="165"/>
    </row>
    <row r="75" spans="1:10" ht="20.85" customHeight="1" x14ac:dyDescent="0.15">
      <c r="A75" s="316"/>
      <c r="B75" s="316" t="s">
        <v>1357</v>
      </c>
      <c r="C75" s="12" t="s">
        <v>862</v>
      </c>
      <c r="D75" s="51">
        <v>2400000</v>
      </c>
      <c r="E75" s="51">
        <v>2720000</v>
      </c>
      <c r="F75" s="120"/>
      <c r="G75" s="98" t="s">
        <v>1068</v>
      </c>
      <c r="H75" s="19"/>
      <c r="I75" s="60"/>
      <c r="J75" s="51"/>
    </row>
    <row r="76" spans="1:10" ht="20.85" customHeight="1" x14ac:dyDescent="0.15">
      <c r="A76" s="316"/>
      <c r="B76" s="316" t="s">
        <v>1358</v>
      </c>
      <c r="C76" s="12" t="s">
        <v>863</v>
      </c>
      <c r="D76" s="51">
        <v>1560000</v>
      </c>
      <c r="E76" s="51">
        <v>1200000</v>
      </c>
      <c r="F76" s="120"/>
      <c r="G76" s="98" t="s">
        <v>1069</v>
      </c>
      <c r="H76" s="19"/>
      <c r="I76" s="60"/>
      <c r="J76" s="51"/>
    </row>
    <row r="77" spans="1:10" ht="20.85" customHeight="1" x14ac:dyDescent="0.15">
      <c r="A77" s="316"/>
      <c r="B77" s="316"/>
      <c r="C77" s="12" t="s">
        <v>1344</v>
      </c>
      <c r="D77" s="51">
        <v>3100000</v>
      </c>
      <c r="E77" s="51">
        <v>1740000</v>
      </c>
      <c r="F77" s="120"/>
      <c r="G77" s="98" t="s">
        <v>1047</v>
      </c>
      <c r="H77" s="19"/>
      <c r="I77" s="60"/>
      <c r="J77" s="51"/>
    </row>
    <row r="78" spans="1:10" ht="20.85" customHeight="1" x14ac:dyDescent="0.15">
      <c r="A78" s="316"/>
      <c r="B78" s="316"/>
      <c r="C78" s="12" t="s">
        <v>864</v>
      </c>
      <c r="D78" s="51">
        <v>540000</v>
      </c>
      <c r="E78" s="51">
        <v>360000</v>
      </c>
      <c r="F78" s="120"/>
      <c r="G78" s="98" t="s">
        <v>1070</v>
      </c>
      <c r="H78" s="19"/>
      <c r="I78" s="60"/>
      <c r="J78" s="51"/>
    </row>
    <row r="79" spans="1:10" ht="20.85" customHeight="1" x14ac:dyDescent="0.15">
      <c r="A79" s="316"/>
      <c r="B79" s="316"/>
      <c r="C79" s="12"/>
      <c r="D79" s="51"/>
      <c r="E79" s="51">
        <v>600000</v>
      </c>
      <c r="F79" s="120"/>
      <c r="G79" s="98" t="s">
        <v>1071</v>
      </c>
      <c r="H79" s="19"/>
      <c r="I79" s="60"/>
      <c r="J79" s="51"/>
    </row>
    <row r="80" spans="1:10" ht="20.85" customHeight="1" x14ac:dyDescent="0.15">
      <c r="A80" s="316"/>
      <c r="B80" s="316"/>
      <c r="C80" s="12" t="s">
        <v>867</v>
      </c>
      <c r="D80" s="51">
        <v>3300000</v>
      </c>
      <c r="E80" s="51">
        <v>1800000</v>
      </c>
      <c r="F80" s="120"/>
      <c r="G80" s="98" t="s">
        <v>1072</v>
      </c>
      <c r="H80" s="19"/>
      <c r="I80" s="60"/>
      <c r="J80" s="51"/>
    </row>
    <row r="81" spans="1:10" ht="20.85" customHeight="1" x14ac:dyDescent="0.15">
      <c r="A81" s="316"/>
      <c r="B81" s="316"/>
      <c r="C81" s="12" t="s">
        <v>868</v>
      </c>
      <c r="D81" s="51">
        <v>840000</v>
      </c>
      <c r="E81" s="51">
        <v>865500</v>
      </c>
      <c r="F81" s="120"/>
      <c r="G81" s="98" t="s">
        <v>1073</v>
      </c>
      <c r="H81" s="19"/>
      <c r="I81" s="60"/>
      <c r="J81" s="51"/>
    </row>
    <row r="82" spans="1:10" ht="20.85" customHeight="1" x14ac:dyDescent="0.15">
      <c r="A82" s="316"/>
      <c r="B82" s="316"/>
      <c r="C82" s="12" t="s">
        <v>869</v>
      </c>
      <c r="D82" s="51">
        <v>700000</v>
      </c>
      <c r="E82" s="51"/>
      <c r="F82" s="120"/>
      <c r="G82" s="98"/>
      <c r="H82" s="19"/>
      <c r="I82" s="60"/>
      <c r="J82" s="51"/>
    </row>
    <row r="83" spans="1:10" ht="20.85" customHeight="1" x14ac:dyDescent="0.15">
      <c r="A83" s="316"/>
      <c r="B83" s="316"/>
      <c r="C83" s="12" t="s">
        <v>870</v>
      </c>
      <c r="D83" s="51">
        <v>400000</v>
      </c>
      <c r="E83" s="51">
        <v>300000</v>
      </c>
      <c r="F83" s="120"/>
      <c r="G83" s="98" t="s">
        <v>1074</v>
      </c>
      <c r="H83" s="19"/>
      <c r="I83" s="60"/>
      <c r="J83" s="51"/>
    </row>
    <row r="84" spans="1:10" ht="20.85" customHeight="1" x14ac:dyDescent="0.15">
      <c r="A84" s="316"/>
      <c r="B84" s="316"/>
      <c r="C84" s="12" t="s">
        <v>871</v>
      </c>
      <c r="D84" s="51">
        <v>1100000</v>
      </c>
      <c r="E84" s="51">
        <v>660000</v>
      </c>
      <c r="F84" s="120"/>
      <c r="G84" s="98" t="s">
        <v>1075</v>
      </c>
      <c r="H84" s="19"/>
      <c r="I84" s="60"/>
      <c r="J84" s="51"/>
    </row>
    <row r="85" spans="1:10" ht="20.85" customHeight="1" x14ac:dyDescent="0.15">
      <c r="A85" s="316"/>
      <c r="B85" s="316"/>
      <c r="C85" s="12" t="s">
        <v>879</v>
      </c>
      <c r="D85" s="51">
        <v>850000</v>
      </c>
      <c r="E85" s="51">
        <v>408000</v>
      </c>
      <c r="F85" s="120"/>
      <c r="G85" s="98" t="s">
        <v>1076</v>
      </c>
      <c r="H85" s="19"/>
      <c r="I85" s="60"/>
      <c r="J85" s="51"/>
    </row>
    <row r="86" spans="1:10" ht="20.85" customHeight="1" x14ac:dyDescent="0.15">
      <c r="A86" s="316"/>
      <c r="B86" s="316"/>
      <c r="C86" s="12" t="s">
        <v>880</v>
      </c>
      <c r="D86" s="51">
        <v>300000</v>
      </c>
      <c r="E86" s="51">
        <v>72800</v>
      </c>
      <c r="F86" s="120"/>
      <c r="G86" s="383" t="s">
        <v>1077</v>
      </c>
      <c r="H86" s="19"/>
      <c r="I86" s="60"/>
      <c r="J86" s="74"/>
    </row>
    <row r="87" spans="1:10" ht="20.85" customHeight="1" x14ac:dyDescent="0.15">
      <c r="A87" s="316"/>
      <c r="B87" s="366"/>
      <c r="C87" s="12" t="s">
        <v>1282</v>
      </c>
      <c r="D87" s="51">
        <v>500000</v>
      </c>
      <c r="E87" s="51">
        <v>950000</v>
      </c>
      <c r="F87" s="74"/>
      <c r="G87" s="383" t="s">
        <v>1078</v>
      </c>
      <c r="H87" s="19"/>
      <c r="I87" s="60"/>
      <c r="J87" s="74"/>
    </row>
    <row r="88" spans="1:10" ht="20.85" customHeight="1" x14ac:dyDescent="0.15">
      <c r="A88" s="316"/>
      <c r="B88" s="366"/>
      <c r="C88" s="12" t="s">
        <v>1354</v>
      </c>
      <c r="D88" s="51"/>
      <c r="E88" s="51">
        <v>980000</v>
      </c>
      <c r="F88" s="74"/>
      <c r="G88" s="387" t="s">
        <v>1079</v>
      </c>
      <c r="H88" s="19"/>
      <c r="I88" s="60"/>
      <c r="J88" s="74"/>
    </row>
    <row r="89" spans="1:10" ht="20.85" customHeight="1" x14ac:dyDescent="0.15">
      <c r="A89" s="316"/>
      <c r="B89" s="341"/>
      <c r="C89" s="12" t="s">
        <v>1359</v>
      </c>
      <c r="D89" s="51"/>
      <c r="E89" s="51">
        <v>1000000</v>
      </c>
      <c r="F89" s="74"/>
      <c r="G89" s="387" t="s">
        <v>1080</v>
      </c>
      <c r="H89" s="19"/>
      <c r="I89" s="60"/>
      <c r="J89" s="74"/>
    </row>
    <row r="90" spans="1:10" ht="20.85" customHeight="1" thickBot="1" x14ac:dyDescent="0.2">
      <c r="A90" s="316"/>
      <c r="B90" s="154"/>
      <c r="C90" s="12" t="s">
        <v>1349</v>
      </c>
      <c r="D90" s="51"/>
      <c r="E90" s="51">
        <v>1400000</v>
      </c>
      <c r="F90" s="74"/>
      <c r="G90" s="387" t="s">
        <v>1081</v>
      </c>
      <c r="H90" s="19"/>
      <c r="I90" s="60"/>
      <c r="J90" s="74"/>
    </row>
    <row r="91" spans="1:10" ht="20.85" customHeight="1" x14ac:dyDescent="0.15">
      <c r="A91" s="316"/>
      <c r="B91" s="145" t="s">
        <v>1360</v>
      </c>
      <c r="C91" s="338" t="s">
        <v>1276</v>
      </c>
      <c r="D91" s="339">
        <f>SUM(D92:D113)</f>
        <v>40000000</v>
      </c>
      <c r="E91" s="339">
        <f>SUM(E92:E113)</f>
        <v>39999999</v>
      </c>
      <c r="F91" s="166"/>
      <c r="G91" s="313"/>
      <c r="H91" s="185"/>
      <c r="I91" s="340"/>
      <c r="J91" s="340"/>
    </row>
    <row r="92" spans="1:10" ht="20.85" customHeight="1" x14ac:dyDescent="0.15">
      <c r="A92" s="316"/>
      <c r="B92" s="316" t="s">
        <v>1361</v>
      </c>
      <c r="C92" s="12" t="s">
        <v>1362</v>
      </c>
      <c r="D92" s="51">
        <v>5000000</v>
      </c>
      <c r="E92" s="51">
        <v>4000000</v>
      </c>
      <c r="F92" s="120"/>
      <c r="G92" s="98" t="s">
        <v>1082</v>
      </c>
      <c r="H92" s="19"/>
      <c r="I92" s="60"/>
      <c r="J92" s="60"/>
    </row>
    <row r="93" spans="1:10" ht="20.85" customHeight="1" x14ac:dyDescent="0.15">
      <c r="A93" s="316"/>
      <c r="B93" s="316" t="s">
        <v>1363</v>
      </c>
      <c r="C93" s="12" t="s">
        <v>1364</v>
      </c>
      <c r="D93" s="51">
        <v>1400000</v>
      </c>
      <c r="E93" s="51">
        <v>1200000</v>
      </c>
      <c r="F93" s="120"/>
      <c r="G93" s="98" t="s">
        <v>1083</v>
      </c>
      <c r="H93" s="19"/>
      <c r="I93" s="60"/>
      <c r="J93" s="60"/>
    </row>
    <row r="94" spans="1:10" ht="20.85" customHeight="1" x14ac:dyDescent="0.15">
      <c r="A94" s="316"/>
      <c r="B94" s="316" t="s">
        <v>1365</v>
      </c>
      <c r="C94" s="12" t="s">
        <v>1366</v>
      </c>
      <c r="D94" s="51">
        <v>420000</v>
      </c>
      <c r="E94" s="51"/>
      <c r="F94" s="120"/>
      <c r="G94" s="98"/>
      <c r="H94" s="19"/>
      <c r="I94" s="60"/>
      <c r="J94" s="60"/>
    </row>
    <row r="95" spans="1:10" ht="20.85" customHeight="1" x14ac:dyDescent="0.15">
      <c r="A95" s="316"/>
      <c r="B95" s="316" t="s">
        <v>1342</v>
      </c>
      <c r="C95" s="12" t="s">
        <v>1367</v>
      </c>
      <c r="D95" s="51">
        <v>1200000</v>
      </c>
      <c r="E95" s="51">
        <v>1000000</v>
      </c>
      <c r="F95" s="120"/>
      <c r="G95" s="98" t="s">
        <v>1084</v>
      </c>
      <c r="H95" s="19"/>
      <c r="I95" s="60"/>
      <c r="J95" s="60"/>
    </row>
    <row r="96" spans="1:10" ht="20.85" customHeight="1" x14ac:dyDescent="0.15">
      <c r="A96" s="316"/>
      <c r="B96" s="316" t="s">
        <v>1368</v>
      </c>
      <c r="C96" s="12" t="s">
        <v>1344</v>
      </c>
      <c r="D96" s="51">
        <v>1750000</v>
      </c>
      <c r="E96" s="51">
        <v>1300000</v>
      </c>
      <c r="F96" s="120"/>
      <c r="G96" s="98" t="s">
        <v>1085</v>
      </c>
      <c r="H96" s="19"/>
      <c r="I96" s="60"/>
      <c r="J96" s="60"/>
    </row>
    <row r="97" spans="1:10" ht="20.85" customHeight="1" x14ac:dyDescent="0.15">
      <c r="A97" s="316"/>
      <c r="B97" s="316" t="s">
        <v>1369</v>
      </c>
      <c r="C97" s="12" t="s">
        <v>866</v>
      </c>
      <c r="D97" s="51">
        <v>500000</v>
      </c>
      <c r="E97" s="51">
        <v>350000</v>
      </c>
      <c r="F97" s="120"/>
      <c r="G97" s="98" t="s">
        <v>1086</v>
      </c>
      <c r="H97" s="19"/>
      <c r="I97" s="60"/>
      <c r="J97" s="60"/>
    </row>
    <row r="98" spans="1:10" ht="20.85" customHeight="1" x14ac:dyDescent="0.15">
      <c r="A98" s="316"/>
      <c r="B98" s="316" t="s">
        <v>1370</v>
      </c>
      <c r="C98" s="12" t="s">
        <v>867</v>
      </c>
      <c r="D98" s="51">
        <v>1200000</v>
      </c>
      <c r="E98" s="51">
        <v>880000</v>
      </c>
      <c r="F98" s="120"/>
      <c r="G98" s="98" t="s">
        <v>1087</v>
      </c>
      <c r="H98" s="19"/>
      <c r="I98" s="60"/>
      <c r="J98" s="60"/>
    </row>
    <row r="99" spans="1:10" ht="20.85" customHeight="1" x14ac:dyDescent="0.15">
      <c r="A99" s="316"/>
      <c r="B99" s="316"/>
      <c r="C99" s="12" t="s">
        <v>868</v>
      </c>
      <c r="D99" s="51">
        <v>2450000</v>
      </c>
      <c r="E99" s="51">
        <v>975500</v>
      </c>
      <c r="F99" s="120"/>
      <c r="G99" s="98" t="s">
        <v>1088</v>
      </c>
      <c r="H99" s="19"/>
      <c r="I99" s="60"/>
      <c r="J99" s="60"/>
    </row>
    <row r="100" spans="1:10" ht="20.25" customHeight="1" x14ac:dyDescent="0.15">
      <c r="A100" s="316"/>
      <c r="B100" s="155"/>
      <c r="C100" s="12" t="s">
        <v>870</v>
      </c>
      <c r="D100" s="51">
        <v>300000</v>
      </c>
      <c r="E100" s="51">
        <v>365910</v>
      </c>
      <c r="F100" s="120"/>
      <c r="G100" s="387" t="s">
        <v>1089</v>
      </c>
      <c r="H100" s="19"/>
      <c r="I100" s="60"/>
      <c r="J100" s="74"/>
    </row>
    <row r="101" spans="1:10" ht="20.85" customHeight="1" x14ac:dyDescent="0.15">
      <c r="A101" s="316"/>
      <c r="B101" s="154"/>
      <c r="C101" s="12" t="s">
        <v>885</v>
      </c>
      <c r="D101" s="51">
        <v>500000</v>
      </c>
      <c r="E101" s="51"/>
      <c r="F101" s="74"/>
      <c r="G101" s="387"/>
      <c r="H101" s="19"/>
      <c r="I101" s="60"/>
      <c r="J101" s="74"/>
    </row>
    <row r="102" spans="1:10" ht="20.85" customHeight="1" x14ac:dyDescent="0.15">
      <c r="A102" s="316"/>
      <c r="B102" s="154"/>
      <c r="C102" s="12" t="s">
        <v>1371</v>
      </c>
      <c r="D102" s="51">
        <v>1650000</v>
      </c>
      <c r="E102" s="51">
        <v>550000</v>
      </c>
      <c r="F102" s="74"/>
      <c r="G102" s="387" t="s">
        <v>1090</v>
      </c>
      <c r="H102" s="19"/>
      <c r="I102" s="60"/>
      <c r="J102" s="74"/>
    </row>
    <row r="103" spans="1:10" ht="20.85" customHeight="1" x14ac:dyDescent="0.15">
      <c r="A103" s="316"/>
      <c r="B103" s="154"/>
      <c r="C103" s="12" t="s">
        <v>873</v>
      </c>
      <c r="D103" s="51">
        <v>1155000</v>
      </c>
      <c r="E103" s="51">
        <v>638000</v>
      </c>
      <c r="F103" s="74"/>
      <c r="G103" s="387" t="s">
        <v>1091</v>
      </c>
      <c r="H103" s="19"/>
      <c r="I103" s="60"/>
      <c r="J103" s="74"/>
    </row>
    <row r="104" spans="1:10" ht="20.85" customHeight="1" x14ac:dyDescent="0.15">
      <c r="A104" s="316"/>
      <c r="B104" s="316"/>
      <c r="C104" s="12" t="s">
        <v>874</v>
      </c>
      <c r="D104" s="51">
        <v>176000</v>
      </c>
      <c r="E104" s="51">
        <v>176000</v>
      </c>
      <c r="F104" s="74"/>
      <c r="G104" s="387" t="s">
        <v>1092</v>
      </c>
      <c r="H104" s="19"/>
      <c r="I104" s="60"/>
      <c r="J104" s="74"/>
    </row>
    <row r="105" spans="1:10" ht="20.85" customHeight="1" x14ac:dyDescent="0.15">
      <c r="A105" s="316"/>
      <c r="B105" s="316"/>
      <c r="C105" s="12" t="s">
        <v>1372</v>
      </c>
      <c r="D105" s="51">
        <v>1500000</v>
      </c>
      <c r="E105" s="51">
        <v>1480000</v>
      </c>
      <c r="F105" s="120"/>
      <c r="G105" s="387" t="s">
        <v>1093</v>
      </c>
      <c r="H105" s="19"/>
      <c r="I105" s="60"/>
      <c r="J105" s="74"/>
    </row>
    <row r="106" spans="1:10" ht="20.85" customHeight="1" x14ac:dyDescent="0.15">
      <c r="A106" s="316"/>
      <c r="B106" s="316"/>
      <c r="C106" s="12" t="s">
        <v>886</v>
      </c>
      <c r="D106" s="51">
        <v>16300000</v>
      </c>
      <c r="E106" s="51">
        <v>15200000</v>
      </c>
      <c r="F106" s="74"/>
      <c r="G106" s="387" t="s">
        <v>1373</v>
      </c>
      <c r="H106" s="19"/>
      <c r="I106" s="60"/>
      <c r="J106" s="74"/>
    </row>
    <row r="107" spans="1:10" ht="20.85" customHeight="1" x14ac:dyDescent="0.15">
      <c r="A107" s="316"/>
      <c r="B107" s="316"/>
      <c r="C107" s="12" t="s">
        <v>887</v>
      </c>
      <c r="D107" s="51">
        <v>1200000</v>
      </c>
      <c r="E107" s="51">
        <v>1100000</v>
      </c>
      <c r="F107" s="74"/>
      <c r="G107" s="387" t="s">
        <v>1094</v>
      </c>
      <c r="H107" s="19"/>
      <c r="I107" s="60"/>
      <c r="J107" s="74"/>
    </row>
    <row r="108" spans="1:10" ht="20.85" customHeight="1" x14ac:dyDescent="0.15">
      <c r="A108" s="316"/>
      <c r="B108" s="316"/>
      <c r="C108" s="12" t="s">
        <v>1374</v>
      </c>
      <c r="D108" s="51">
        <v>536000</v>
      </c>
      <c r="E108" s="51">
        <v>797970</v>
      </c>
      <c r="F108" s="74"/>
      <c r="G108" s="387" t="s">
        <v>1095</v>
      </c>
      <c r="H108" s="19"/>
      <c r="I108" s="60"/>
      <c r="J108" s="74"/>
    </row>
    <row r="109" spans="1:10" ht="20.85" customHeight="1" x14ac:dyDescent="0.15">
      <c r="A109" s="316"/>
      <c r="B109" s="316"/>
      <c r="C109" s="12" t="s">
        <v>1375</v>
      </c>
      <c r="D109" s="51">
        <v>1000000</v>
      </c>
      <c r="E109" s="51">
        <v>275000</v>
      </c>
      <c r="F109" s="74"/>
      <c r="G109" s="387" t="s">
        <v>1096</v>
      </c>
      <c r="H109" s="19"/>
      <c r="I109" s="60"/>
      <c r="J109" s="74"/>
    </row>
    <row r="110" spans="1:10" ht="20.85" customHeight="1" x14ac:dyDescent="0.15">
      <c r="A110" s="316"/>
      <c r="B110" s="316"/>
      <c r="C110" s="12" t="s">
        <v>888</v>
      </c>
      <c r="D110" s="247">
        <v>300000</v>
      </c>
      <c r="E110" s="51">
        <v>880000</v>
      </c>
      <c r="F110" s="120"/>
      <c r="G110" s="387" t="s">
        <v>1097</v>
      </c>
      <c r="H110" s="19"/>
      <c r="I110" s="60"/>
      <c r="J110" s="74"/>
    </row>
    <row r="111" spans="1:10" ht="20.85" customHeight="1" x14ac:dyDescent="0.15">
      <c r="A111" s="316"/>
      <c r="B111" s="316"/>
      <c r="C111" s="12" t="s">
        <v>889</v>
      </c>
      <c r="D111" s="51">
        <v>1199000</v>
      </c>
      <c r="E111" s="51">
        <v>567619</v>
      </c>
      <c r="F111" s="74"/>
      <c r="G111" s="387" t="s">
        <v>1098</v>
      </c>
      <c r="H111" s="19"/>
      <c r="I111" s="60"/>
      <c r="J111" s="74"/>
    </row>
    <row r="112" spans="1:10" ht="20.85" customHeight="1" x14ac:dyDescent="0.15">
      <c r="A112" s="316"/>
      <c r="B112" s="316"/>
      <c r="C112" s="315" t="s">
        <v>890</v>
      </c>
      <c r="D112" s="26">
        <v>264000</v>
      </c>
      <c r="E112" s="26">
        <v>264000</v>
      </c>
      <c r="F112" s="129"/>
      <c r="G112" s="15" t="s">
        <v>1099</v>
      </c>
      <c r="H112" s="27"/>
      <c r="I112" s="63"/>
      <c r="J112" s="75"/>
    </row>
    <row r="113" spans="1:10" ht="20.85" customHeight="1" thickBot="1" x14ac:dyDescent="0.2">
      <c r="A113" s="316"/>
      <c r="B113" s="316"/>
      <c r="C113" s="124" t="s">
        <v>1376</v>
      </c>
      <c r="D113" s="141"/>
      <c r="E113" s="141">
        <v>8000000</v>
      </c>
      <c r="F113" s="157"/>
      <c r="G113" s="142" t="s">
        <v>1100</v>
      </c>
      <c r="H113" s="160"/>
      <c r="I113" s="337"/>
      <c r="J113" s="384"/>
    </row>
    <row r="114" spans="1:10" ht="20.85" customHeight="1" x14ac:dyDescent="0.15">
      <c r="A114" s="316"/>
      <c r="B114" s="145" t="s">
        <v>1377</v>
      </c>
      <c r="C114" s="338" t="s">
        <v>1378</v>
      </c>
      <c r="D114" s="339">
        <f>SUM(D115:D139)</f>
        <v>41500000</v>
      </c>
      <c r="E114" s="339">
        <f>SUM(E115:E139)</f>
        <v>36924780</v>
      </c>
      <c r="F114" s="166"/>
      <c r="G114" s="313"/>
      <c r="H114" s="185"/>
      <c r="I114" s="340"/>
      <c r="J114" s="340"/>
    </row>
    <row r="115" spans="1:10" ht="20.85" customHeight="1" x14ac:dyDescent="0.15">
      <c r="A115" s="316"/>
      <c r="B115" s="316" t="s">
        <v>1379</v>
      </c>
      <c r="C115" s="12" t="s">
        <v>862</v>
      </c>
      <c r="D115" s="51">
        <v>4800000</v>
      </c>
      <c r="E115" s="51">
        <v>4640000</v>
      </c>
      <c r="F115" s="120"/>
      <c r="G115" s="98" t="s">
        <v>1101</v>
      </c>
      <c r="H115" s="19"/>
      <c r="I115" s="60"/>
      <c r="J115" s="60"/>
    </row>
    <row r="116" spans="1:10" ht="20.85" customHeight="1" x14ac:dyDescent="0.15">
      <c r="A116" s="316"/>
      <c r="B116" s="316" t="s">
        <v>1380</v>
      </c>
      <c r="C116" s="12" t="s">
        <v>863</v>
      </c>
      <c r="D116" s="51">
        <v>2160000</v>
      </c>
      <c r="E116" s="51">
        <v>1620000</v>
      </c>
      <c r="F116" s="120"/>
      <c r="G116" s="98" t="s">
        <v>1102</v>
      </c>
      <c r="H116" s="19"/>
      <c r="I116" s="60"/>
      <c r="J116" s="60"/>
    </row>
    <row r="117" spans="1:10" ht="20.85" customHeight="1" x14ac:dyDescent="0.15">
      <c r="A117" s="316"/>
      <c r="B117" s="316" t="s">
        <v>1381</v>
      </c>
      <c r="C117" s="12" t="s">
        <v>1382</v>
      </c>
      <c r="D117" s="51">
        <v>640000</v>
      </c>
      <c r="E117" s="51">
        <v>320000</v>
      </c>
      <c r="F117" s="120"/>
      <c r="G117" s="98" t="s">
        <v>1103</v>
      </c>
      <c r="H117" s="19"/>
      <c r="I117" s="60"/>
      <c r="J117" s="60"/>
    </row>
    <row r="118" spans="1:10" ht="20.85" customHeight="1" x14ac:dyDescent="0.15">
      <c r="A118" s="316"/>
      <c r="B118" s="316"/>
      <c r="C118" s="12" t="s">
        <v>1383</v>
      </c>
      <c r="D118" s="51">
        <v>240000</v>
      </c>
      <c r="E118" s="51">
        <v>300000</v>
      </c>
      <c r="F118" s="120"/>
      <c r="G118" s="98" t="s">
        <v>1104</v>
      </c>
      <c r="H118" s="19"/>
      <c r="I118" s="60"/>
      <c r="J118" s="60"/>
    </row>
    <row r="119" spans="1:10" ht="20.85" customHeight="1" x14ac:dyDescent="0.15">
      <c r="A119" s="316"/>
      <c r="B119" s="316"/>
      <c r="C119" s="12" t="s">
        <v>892</v>
      </c>
      <c r="D119" s="51">
        <v>750000</v>
      </c>
      <c r="E119" s="51">
        <v>740000</v>
      </c>
      <c r="F119" s="120"/>
      <c r="G119" s="98" t="s">
        <v>1047</v>
      </c>
      <c r="H119" s="19"/>
      <c r="I119" s="60"/>
      <c r="J119" s="60"/>
    </row>
    <row r="120" spans="1:10" ht="20.85" customHeight="1" x14ac:dyDescent="0.15">
      <c r="A120" s="316"/>
      <c r="B120" s="316"/>
      <c r="C120" s="12" t="s">
        <v>864</v>
      </c>
      <c r="D120" s="51">
        <v>960000</v>
      </c>
      <c r="E120" s="51">
        <v>420000</v>
      </c>
      <c r="F120" s="120"/>
      <c r="G120" s="98" t="s">
        <v>1105</v>
      </c>
      <c r="H120" s="19"/>
      <c r="I120" s="60"/>
      <c r="J120" s="60"/>
    </row>
    <row r="121" spans="1:10" ht="20.85" customHeight="1" x14ac:dyDescent="0.15">
      <c r="A121" s="316"/>
      <c r="B121" s="316"/>
      <c r="C121" s="12" t="s">
        <v>865</v>
      </c>
      <c r="D121" s="51">
        <v>2700000</v>
      </c>
      <c r="E121" s="51">
        <v>630000</v>
      </c>
      <c r="F121" s="120"/>
      <c r="G121" s="98" t="s">
        <v>1106</v>
      </c>
      <c r="H121" s="19"/>
      <c r="I121" s="60"/>
      <c r="J121" s="60"/>
    </row>
    <row r="122" spans="1:10" ht="20.85" customHeight="1" x14ac:dyDescent="0.15">
      <c r="A122" s="316"/>
      <c r="B122" s="316"/>
      <c r="C122" s="12" t="s">
        <v>867</v>
      </c>
      <c r="D122" s="51">
        <v>1950000</v>
      </c>
      <c r="E122" s="51">
        <v>1700000</v>
      </c>
      <c r="F122" s="120"/>
      <c r="G122" s="98" t="s">
        <v>1107</v>
      </c>
      <c r="H122" s="19"/>
      <c r="I122" s="60"/>
      <c r="J122" s="60"/>
    </row>
    <row r="123" spans="1:10" ht="20.85" customHeight="1" x14ac:dyDescent="0.15">
      <c r="A123" s="316"/>
      <c r="B123" s="316"/>
      <c r="C123" s="12" t="s">
        <v>868</v>
      </c>
      <c r="D123" s="51">
        <v>1120000</v>
      </c>
      <c r="E123" s="51">
        <v>1642500</v>
      </c>
      <c r="F123" s="120"/>
      <c r="G123" s="98" t="s">
        <v>1108</v>
      </c>
      <c r="H123" s="19"/>
      <c r="I123" s="60"/>
      <c r="J123" s="60"/>
    </row>
    <row r="124" spans="1:10" ht="20.85" customHeight="1" x14ac:dyDescent="0.15">
      <c r="A124" s="316"/>
      <c r="B124" s="316"/>
      <c r="C124" s="12" t="s">
        <v>869</v>
      </c>
      <c r="D124" s="51">
        <v>1470000</v>
      </c>
      <c r="E124" s="51">
        <v>950000</v>
      </c>
      <c r="F124" s="120"/>
      <c r="G124" s="98" t="s">
        <v>1109</v>
      </c>
      <c r="H124" s="19"/>
      <c r="I124" s="60"/>
      <c r="J124" s="60"/>
    </row>
    <row r="125" spans="1:10" ht="20.85" customHeight="1" x14ac:dyDescent="0.15">
      <c r="A125" s="316"/>
      <c r="B125" s="316"/>
      <c r="C125" s="12" t="s">
        <v>870</v>
      </c>
      <c r="D125" s="51">
        <v>450000</v>
      </c>
      <c r="E125" s="51">
        <v>557620</v>
      </c>
      <c r="F125" s="120"/>
      <c r="G125" s="98" t="s">
        <v>1110</v>
      </c>
      <c r="H125" s="19"/>
      <c r="I125" s="60"/>
      <c r="J125" s="60"/>
    </row>
    <row r="126" spans="1:10" ht="20.85" customHeight="1" x14ac:dyDescent="0.15">
      <c r="A126" s="316"/>
      <c r="B126" s="316"/>
      <c r="C126" s="12" t="s">
        <v>871</v>
      </c>
      <c r="D126" s="51">
        <v>1100000</v>
      </c>
      <c r="E126" s="51">
        <v>1100000</v>
      </c>
      <c r="F126" s="120"/>
      <c r="G126" s="98" t="s">
        <v>1111</v>
      </c>
      <c r="H126" s="19"/>
      <c r="I126" s="60"/>
      <c r="J126" s="60"/>
    </row>
    <row r="127" spans="1:10" ht="20.85" customHeight="1" x14ac:dyDescent="0.15">
      <c r="A127" s="316"/>
      <c r="B127" s="316"/>
      <c r="C127" s="12" t="s">
        <v>872</v>
      </c>
      <c r="D127" s="51">
        <v>1760000</v>
      </c>
      <c r="E127" s="51">
        <v>1870000</v>
      </c>
      <c r="F127" s="120"/>
      <c r="G127" s="98" t="s">
        <v>1112</v>
      </c>
      <c r="H127" s="19"/>
      <c r="I127" s="60"/>
      <c r="J127" s="60"/>
    </row>
    <row r="128" spans="1:10" ht="20.85" customHeight="1" x14ac:dyDescent="0.15">
      <c r="A128" s="316"/>
      <c r="B128" s="316"/>
      <c r="C128" s="12" t="s">
        <v>873</v>
      </c>
      <c r="D128" s="51">
        <v>2475000</v>
      </c>
      <c r="E128" s="51">
        <v>1881000</v>
      </c>
      <c r="F128" s="120"/>
      <c r="G128" s="98" t="s">
        <v>1113</v>
      </c>
      <c r="H128" s="19"/>
      <c r="I128" s="60"/>
      <c r="J128" s="60"/>
    </row>
    <row r="129" spans="1:10" ht="20.85" customHeight="1" x14ac:dyDescent="0.15">
      <c r="A129" s="316"/>
      <c r="B129" s="316"/>
      <c r="C129" s="12" t="s">
        <v>874</v>
      </c>
      <c r="D129" s="51">
        <v>176000</v>
      </c>
      <c r="E129" s="51">
        <v>176000</v>
      </c>
      <c r="F129" s="120"/>
      <c r="G129" s="98" t="s">
        <v>1092</v>
      </c>
      <c r="H129" s="19"/>
      <c r="I129" s="60"/>
      <c r="J129" s="60"/>
    </row>
    <row r="130" spans="1:10" ht="20.85" customHeight="1" x14ac:dyDescent="0.15">
      <c r="A130" s="316"/>
      <c r="B130" s="316"/>
      <c r="C130" s="12" t="s">
        <v>1384</v>
      </c>
      <c r="D130" s="51">
        <v>450000</v>
      </c>
      <c r="E130" s="51">
        <v>154000</v>
      </c>
      <c r="F130" s="120"/>
      <c r="G130" s="98" t="s">
        <v>1114</v>
      </c>
      <c r="H130" s="19"/>
      <c r="I130" s="60"/>
      <c r="J130" s="60"/>
    </row>
    <row r="131" spans="1:10" ht="20.85" customHeight="1" x14ac:dyDescent="0.15">
      <c r="A131" s="316"/>
      <c r="B131" s="316"/>
      <c r="C131" s="12" t="s">
        <v>1385</v>
      </c>
      <c r="D131" s="51">
        <v>0</v>
      </c>
      <c r="E131" s="51">
        <v>300000</v>
      </c>
      <c r="F131" s="120"/>
      <c r="G131" s="98" t="s">
        <v>1115</v>
      </c>
      <c r="H131" s="19"/>
      <c r="I131" s="60"/>
      <c r="J131" s="60"/>
    </row>
    <row r="132" spans="1:10" ht="20.85" customHeight="1" x14ac:dyDescent="0.15">
      <c r="A132" s="316"/>
      <c r="B132" s="316"/>
      <c r="C132" s="12" t="s">
        <v>883</v>
      </c>
      <c r="D132" s="51">
        <v>0</v>
      </c>
      <c r="E132" s="51">
        <v>440000</v>
      </c>
      <c r="F132" s="120"/>
      <c r="G132" s="98" t="s">
        <v>1116</v>
      </c>
      <c r="H132" s="19"/>
      <c r="I132" s="60"/>
      <c r="J132" s="60"/>
    </row>
    <row r="133" spans="1:10" ht="20.85" customHeight="1" x14ac:dyDescent="0.15">
      <c r="A133" s="316"/>
      <c r="B133" s="246"/>
      <c r="C133" s="12" t="s">
        <v>879</v>
      </c>
      <c r="D133" s="51">
        <v>500000</v>
      </c>
      <c r="E133" s="51">
        <v>640000</v>
      </c>
      <c r="F133" s="74"/>
      <c r="G133" s="387" t="s">
        <v>1117</v>
      </c>
      <c r="H133" s="19"/>
      <c r="I133" s="60"/>
      <c r="J133" s="74"/>
    </row>
    <row r="134" spans="1:10" ht="20.85" customHeight="1" x14ac:dyDescent="0.15">
      <c r="A134" s="316"/>
      <c r="B134" s="154"/>
      <c r="C134" s="12" t="s">
        <v>880</v>
      </c>
      <c r="D134" s="51">
        <v>525000</v>
      </c>
      <c r="E134" s="51">
        <v>197260</v>
      </c>
      <c r="F134" s="74"/>
      <c r="G134" s="387" t="s">
        <v>1118</v>
      </c>
      <c r="H134" s="19"/>
      <c r="I134" s="60"/>
      <c r="J134" s="74"/>
    </row>
    <row r="135" spans="1:10" ht="20.85" customHeight="1" x14ac:dyDescent="0.15">
      <c r="A135" s="316"/>
      <c r="B135" s="154"/>
      <c r="C135" s="12" t="s">
        <v>894</v>
      </c>
      <c r="D135" s="51">
        <v>8000000</v>
      </c>
      <c r="E135" s="51">
        <v>7000000</v>
      </c>
      <c r="F135" s="74"/>
      <c r="G135" s="387" t="s">
        <v>1119</v>
      </c>
      <c r="H135" s="19"/>
      <c r="I135" s="60"/>
      <c r="J135" s="74"/>
    </row>
    <row r="136" spans="1:10" ht="20.85" customHeight="1" x14ac:dyDescent="0.15">
      <c r="A136" s="316"/>
      <c r="B136" s="316"/>
      <c r="C136" s="12" t="s">
        <v>876</v>
      </c>
      <c r="D136" s="51">
        <v>4500000</v>
      </c>
      <c r="E136" s="51">
        <v>4500000</v>
      </c>
      <c r="F136" s="74"/>
      <c r="G136" s="387" t="s">
        <v>1056</v>
      </c>
      <c r="H136" s="19"/>
      <c r="I136" s="60"/>
      <c r="J136" s="74"/>
    </row>
    <row r="137" spans="1:10" ht="20.85" customHeight="1" x14ac:dyDescent="0.15">
      <c r="A137" s="316"/>
      <c r="B137" s="316"/>
      <c r="C137" s="12" t="s">
        <v>1282</v>
      </c>
      <c r="D137" s="51">
        <v>424000</v>
      </c>
      <c r="E137" s="51">
        <v>1387900</v>
      </c>
      <c r="F137" s="120"/>
      <c r="G137" s="387" t="s">
        <v>1120</v>
      </c>
      <c r="H137" s="19"/>
      <c r="I137" s="60"/>
      <c r="J137" s="74"/>
    </row>
    <row r="138" spans="1:10" ht="20.85" customHeight="1" x14ac:dyDescent="0.15">
      <c r="A138" s="316"/>
      <c r="B138" s="316"/>
      <c r="C138" s="12" t="s">
        <v>1386</v>
      </c>
      <c r="D138" s="51">
        <v>4000000</v>
      </c>
      <c r="E138" s="51">
        <v>2908500</v>
      </c>
      <c r="F138" s="74"/>
      <c r="G138" s="387" t="s">
        <v>1387</v>
      </c>
      <c r="H138" s="19"/>
      <c r="I138" s="60"/>
      <c r="J138" s="74"/>
    </row>
    <row r="139" spans="1:10" ht="20.85" customHeight="1" thickBot="1" x14ac:dyDescent="0.2">
      <c r="A139" s="316"/>
      <c r="B139" s="316"/>
      <c r="C139" s="12" t="s">
        <v>895</v>
      </c>
      <c r="D139" s="51">
        <v>350000</v>
      </c>
      <c r="E139" s="51">
        <v>850000</v>
      </c>
      <c r="F139" s="74"/>
      <c r="G139" s="387" t="s">
        <v>1121</v>
      </c>
      <c r="H139" s="19"/>
      <c r="I139" s="60"/>
      <c r="J139" s="74"/>
    </row>
    <row r="140" spans="1:10" ht="20.85" customHeight="1" x14ac:dyDescent="0.15">
      <c r="A140" s="316"/>
      <c r="B140" s="164" t="s">
        <v>1388</v>
      </c>
      <c r="C140" s="342" t="s">
        <v>1276</v>
      </c>
      <c r="D140" s="343">
        <f>SUM(D141:D172)</f>
        <v>65775000</v>
      </c>
      <c r="E140" s="343">
        <f>SUM(E141:E172)</f>
        <v>103574770</v>
      </c>
      <c r="F140" s="159"/>
      <c r="G140" s="138"/>
      <c r="H140" s="139"/>
      <c r="I140" s="140"/>
      <c r="J140" s="137"/>
    </row>
    <row r="141" spans="1:10" ht="20.85" customHeight="1" x14ac:dyDescent="0.15">
      <c r="A141" s="316"/>
      <c r="B141" s="127" t="s">
        <v>1361</v>
      </c>
      <c r="C141" s="336" t="s">
        <v>862</v>
      </c>
      <c r="D141" s="51">
        <v>4800000</v>
      </c>
      <c r="E141" s="51">
        <v>4880000</v>
      </c>
      <c r="F141" s="120"/>
      <c r="G141" s="387" t="s">
        <v>1122</v>
      </c>
      <c r="H141" s="14"/>
      <c r="I141" s="58"/>
      <c r="J141" s="74"/>
    </row>
    <row r="142" spans="1:10" ht="20.85" customHeight="1" x14ac:dyDescent="0.15">
      <c r="A142" s="316"/>
      <c r="B142" s="246" t="s">
        <v>1363</v>
      </c>
      <c r="C142" s="12" t="s">
        <v>863</v>
      </c>
      <c r="D142" s="51">
        <v>2160000</v>
      </c>
      <c r="E142" s="51">
        <v>2160000</v>
      </c>
      <c r="F142" s="74"/>
      <c r="G142" s="387" t="s">
        <v>1123</v>
      </c>
      <c r="H142" s="14"/>
      <c r="I142" s="58"/>
      <c r="J142" s="74"/>
    </row>
    <row r="143" spans="1:10" ht="20.85" customHeight="1" x14ac:dyDescent="0.15">
      <c r="A143" s="316"/>
      <c r="B143" s="147" t="s">
        <v>1365</v>
      </c>
      <c r="C143" s="12" t="s">
        <v>892</v>
      </c>
      <c r="D143" s="51">
        <v>1000000</v>
      </c>
      <c r="E143" s="51">
        <v>940000</v>
      </c>
      <c r="F143" s="74"/>
      <c r="G143" s="387" t="s">
        <v>1047</v>
      </c>
      <c r="H143" s="14"/>
      <c r="I143" s="58"/>
      <c r="J143" s="74"/>
    </row>
    <row r="144" spans="1:10" ht="20.85" customHeight="1" x14ac:dyDescent="0.15">
      <c r="A144" s="316"/>
      <c r="B144" s="316" t="s">
        <v>1342</v>
      </c>
      <c r="C144" s="12" t="s">
        <v>864</v>
      </c>
      <c r="D144" s="51">
        <v>720000</v>
      </c>
      <c r="E144" s="51">
        <v>720000</v>
      </c>
      <c r="F144" s="74"/>
      <c r="G144" s="387" t="s">
        <v>1124</v>
      </c>
      <c r="H144" s="14"/>
      <c r="I144" s="58"/>
      <c r="J144" s="74"/>
    </row>
    <row r="145" spans="1:10" ht="20.85" customHeight="1" x14ac:dyDescent="0.15">
      <c r="A145" s="316"/>
      <c r="B145" s="316" t="s">
        <v>1343</v>
      </c>
      <c r="C145" s="12" t="s">
        <v>865</v>
      </c>
      <c r="D145" s="51">
        <v>450000</v>
      </c>
      <c r="E145" s="51">
        <v>450000</v>
      </c>
      <c r="F145" s="74"/>
      <c r="G145" s="387" t="s">
        <v>1125</v>
      </c>
      <c r="H145" s="14"/>
      <c r="I145" s="58"/>
      <c r="J145" s="74"/>
    </row>
    <row r="146" spans="1:10" ht="20.85" customHeight="1" x14ac:dyDescent="0.15">
      <c r="A146" s="316"/>
      <c r="B146" s="316"/>
      <c r="C146" s="12" t="s">
        <v>866</v>
      </c>
      <c r="D146" s="51">
        <v>1650000</v>
      </c>
      <c r="E146" s="51">
        <v>1050000</v>
      </c>
      <c r="F146" s="74"/>
      <c r="G146" s="387" t="s">
        <v>1126</v>
      </c>
      <c r="H146" s="14"/>
      <c r="I146" s="58"/>
      <c r="J146" s="344"/>
    </row>
    <row r="147" spans="1:10" ht="21.6" customHeight="1" x14ac:dyDescent="0.15">
      <c r="A147" s="316"/>
      <c r="B147" s="127"/>
      <c r="C147" s="12" t="s">
        <v>867</v>
      </c>
      <c r="D147" s="51">
        <v>2250000</v>
      </c>
      <c r="E147" s="347">
        <v>2250000</v>
      </c>
      <c r="F147" s="74"/>
      <c r="G147" s="387" t="s">
        <v>1127</v>
      </c>
      <c r="H147" s="19"/>
      <c r="I147" s="60"/>
      <c r="J147" s="74"/>
    </row>
    <row r="148" spans="1:10" ht="21.6" customHeight="1" x14ac:dyDescent="0.15">
      <c r="A148" s="316"/>
      <c r="B148" s="246"/>
      <c r="C148" s="12" t="s">
        <v>868</v>
      </c>
      <c r="D148" s="51">
        <v>1400000</v>
      </c>
      <c r="E148" s="51">
        <v>1899800</v>
      </c>
      <c r="F148" s="74"/>
      <c r="G148" s="387" t="s">
        <v>1128</v>
      </c>
      <c r="H148" s="19"/>
      <c r="I148" s="60"/>
      <c r="J148" s="74"/>
    </row>
    <row r="149" spans="1:10" ht="21.6" customHeight="1" x14ac:dyDescent="0.15">
      <c r="A149" s="316"/>
      <c r="B149" s="147"/>
      <c r="C149" s="12" t="s">
        <v>869</v>
      </c>
      <c r="D149" s="51">
        <v>1050000</v>
      </c>
      <c r="E149" s="51"/>
      <c r="F149" s="74"/>
      <c r="G149" s="387"/>
      <c r="H149" s="19"/>
      <c r="I149" s="60"/>
      <c r="J149" s="74"/>
    </row>
    <row r="150" spans="1:10" ht="21.6" customHeight="1" x14ac:dyDescent="0.15">
      <c r="A150" s="316"/>
      <c r="B150" s="316"/>
      <c r="C150" s="12" t="s">
        <v>870</v>
      </c>
      <c r="D150" s="51">
        <v>600000</v>
      </c>
      <c r="E150" s="51"/>
      <c r="F150" s="74"/>
      <c r="G150" s="387"/>
      <c r="H150" s="19"/>
      <c r="I150" s="60"/>
      <c r="J150" s="74"/>
    </row>
    <row r="151" spans="1:10" ht="21.6" customHeight="1" x14ac:dyDescent="0.15">
      <c r="A151" s="316"/>
      <c r="B151" s="316"/>
      <c r="C151" s="12" t="s">
        <v>871</v>
      </c>
      <c r="D151" s="51">
        <v>1100000</v>
      </c>
      <c r="E151" s="51">
        <v>1100000</v>
      </c>
      <c r="F151" s="74"/>
      <c r="G151" s="387" t="s">
        <v>1053</v>
      </c>
      <c r="H151" s="19"/>
      <c r="I151" s="60"/>
      <c r="J151" s="74"/>
    </row>
    <row r="152" spans="1:10" ht="21.6" customHeight="1" x14ac:dyDescent="0.15">
      <c r="A152" s="316"/>
      <c r="B152" s="316"/>
      <c r="C152" s="12" t="s">
        <v>872</v>
      </c>
      <c r="D152" s="51">
        <v>1760000</v>
      </c>
      <c r="E152" s="51">
        <v>1760000</v>
      </c>
      <c r="F152" s="74"/>
      <c r="G152" s="387" t="s">
        <v>1129</v>
      </c>
      <c r="H152" s="19"/>
      <c r="I152" s="60"/>
      <c r="J152" s="74"/>
    </row>
    <row r="153" spans="1:10" ht="21.6" customHeight="1" x14ac:dyDescent="0.15">
      <c r="A153" s="316"/>
      <c r="B153" s="316"/>
      <c r="C153" s="12" t="s">
        <v>873</v>
      </c>
      <c r="D153" s="51">
        <v>2475000</v>
      </c>
      <c r="E153" s="51">
        <v>2009700</v>
      </c>
      <c r="F153" s="74"/>
      <c r="G153" s="387" t="s">
        <v>1130</v>
      </c>
      <c r="H153" s="19"/>
      <c r="I153" s="60"/>
      <c r="J153" s="74"/>
    </row>
    <row r="154" spans="1:10" ht="21.6" customHeight="1" x14ac:dyDescent="0.15">
      <c r="A154" s="316"/>
      <c r="B154" s="316"/>
      <c r="C154" s="12" t="s">
        <v>874</v>
      </c>
      <c r="D154" s="51">
        <v>88000</v>
      </c>
      <c r="E154" s="51">
        <v>88000</v>
      </c>
      <c r="F154" s="74"/>
      <c r="G154" s="387" t="s">
        <v>1131</v>
      </c>
      <c r="H154" s="19"/>
      <c r="I154" s="60"/>
      <c r="J154" s="74"/>
    </row>
    <row r="155" spans="1:10" ht="21.6" customHeight="1" x14ac:dyDescent="0.15">
      <c r="A155" s="316"/>
      <c r="B155" s="316"/>
      <c r="C155" s="12" t="s">
        <v>885</v>
      </c>
      <c r="D155" s="51">
        <v>1500000</v>
      </c>
      <c r="E155" s="51"/>
      <c r="F155" s="74"/>
      <c r="G155" s="387"/>
      <c r="H155" s="19"/>
      <c r="I155" s="60"/>
      <c r="J155" s="74"/>
    </row>
    <row r="156" spans="1:10" ht="21.6" customHeight="1" x14ac:dyDescent="0.15">
      <c r="A156" s="316"/>
      <c r="B156" s="316"/>
      <c r="C156" s="12" t="s">
        <v>883</v>
      </c>
      <c r="D156" s="51">
        <v>275000</v>
      </c>
      <c r="E156" s="51">
        <v>440000</v>
      </c>
      <c r="F156" s="74"/>
      <c r="G156" s="387" t="s">
        <v>1132</v>
      </c>
      <c r="H156" s="19"/>
      <c r="I156" s="60"/>
      <c r="J156" s="74"/>
    </row>
    <row r="157" spans="1:10" ht="21.6" customHeight="1" x14ac:dyDescent="0.15">
      <c r="A157" s="316"/>
      <c r="B157" s="316"/>
      <c r="C157" s="12" t="s">
        <v>1389</v>
      </c>
      <c r="D157" s="51"/>
      <c r="E157" s="51">
        <v>198000</v>
      </c>
      <c r="F157" s="74"/>
      <c r="G157" s="387" t="s">
        <v>1133</v>
      </c>
      <c r="H157" s="19"/>
      <c r="I157" s="60"/>
      <c r="J157" s="74"/>
    </row>
    <row r="158" spans="1:10" ht="21.6" customHeight="1" x14ac:dyDescent="0.15">
      <c r="A158" s="316"/>
      <c r="B158" s="316"/>
      <c r="C158" s="12" t="s">
        <v>875</v>
      </c>
      <c r="D158" s="51">
        <v>2522000</v>
      </c>
      <c r="E158" s="51"/>
      <c r="F158" s="74"/>
      <c r="G158" s="387"/>
      <c r="H158" s="19"/>
      <c r="I158" s="60"/>
      <c r="J158" s="74"/>
    </row>
    <row r="159" spans="1:10" ht="21.6" customHeight="1" x14ac:dyDescent="0.15">
      <c r="A159" s="316"/>
      <c r="B159" s="316"/>
      <c r="C159" s="12" t="s">
        <v>896</v>
      </c>
      <c r="D159" s="51">
        <v>500000</v>
      </c>
      <c r="E159" s="51">
        <v>1394710</v>
      </c>
      <c r="F159" s="120"/>
      <c r="G159" s="387" t="s">
        <v>1134</v>
      </c>
      <c r="H159" s="14"/>
      <c r="I159" s="58"/>
      <c r="J159" s="74"/>
    </row>
    <row r="160" spans="1:10" ht="21.6" customHeight="1" x14ac:dyDescent="0.15">
      <c r="A160" s="316"/>
      <c r="B160" s="316"/>
      <c r="C160" s="12" t="s">
        <v>877</v>
      </c>
      <c r="D160" s="51">
        <v>1650000</v>
      </c>
      <c r="E160" s="51"/>
      <c r="F160" s="74"/>
      <c r="G160" s="387"/>
      <c r="H160" s="14"/>
      <c r="I160" s="58"/>
      <c r="J160" s="74"/>
    </row>
    <row r="161" spans="1:10" ht="21.6" customHeight="1" x14ac:dyDescent="0.15">
      <c r="A161" s="316"/>
      <c r="B161" s="316"/>
      <c r="C161" s="12" t="s">
        <v>1347</v>
      </c>
      <c r="D161" s="51">
        <v>900000</v>
      </c>
      <c r="E161" s="51">
        <v>583000</v>
      </c>
      <c r="F161" s="74"/>
      <c r="G161" s="387" t="s">
        <v>1059</v>
      </c>
      <c r="H161" s="14"/>
      <c r="I161" s="58"/>
      <c r="J161" s="74"/>
    </row>
    <row r="162" spans="1:10" ht="21.6" customHeight="1" x14ac:dyDescent="0.15">
      <c r="A162" s="316"/>
      <c r="B162" s="316"/>
      <c r="C162" s="12" t="s">
        <v>894</v>
      </c>
      <c r="D162" s="51">
        <v>8000000</v>
      </c>
      <c r="E162" s="51">
        <v>7500000</v>
      </c>
      <c r="F162" s="74"/>
      <c r="G162" s="387" t="s">
        <v>1135</v>
      </c>
      <c r="H162" s="14"/>
      <c r="I162" s="58"/>
      <c r="J162" s="74"/>
    </row>
    <row r="163" spans="1:10" ht="21.6" customHeight="1" x14ac:dyDescent="0.15">
      <c r="A163" s="87"/>
      <c r="B163" s="316"/>
      <c r="C163" s="12" t="s">
        <v>880</v>
      </c>
      <c r="D163" s="51">
        <v>525000</v>
      </c>
      <c r="E163" s="51">
        <v>176660</v>
      </c>
      <c r="F163" s="120"/>
      <c r="G163" s="387" t="s">
        <v>1136</v>
      </c>
      <c r="H163" s="19"/>
      <c r="I163" s="60"/>
      <c r="J163" s="74"/>
    </row>
    <row r="164" spans="1:10" ht="21.6" customHeight="1" x14ac:dyDescent="0.15">
      <c r="A164" s="87"/>
      <c r="B164" s="316"/>
      <c r="C164" s="12" t="s">
        <v>1390</v>
      </c>
      <c r="D164" s="51"/>
      <c r="E164" s="51">
        <v>78900</v>
      </c>
      <c r="F164" s="120"/>
      <c r="G164" s="387" t="s">
        <v>1137</v>
      </c>
      <c r="H164" s="19"/>
      <c r="I164" s="60"/>
      <c r="J164" s="74"/>
    </row>
    <row r="165" spans="1:10" ht="21.6" customHeight="1" x14ac:dyDescent="0.15">
      <c r="A165" s="316"/>
      <c r="B165" s="126"/>
      <c r="C165" s="12" t="s">
        <v>881</v>
      </c>
      <c r="D165" s="51">
        <v>22000000</v>
      </c>
      <c r="E165" s="51">
        <v>22000000</v>
      </c>
      <c r="F165" s="74"/>
      <c r="G165" s="387" t="s">
        <v>1061</v>
      </c>
      <c r="H165" s="19"/>
      <c r="I165" s="60"/>
      <c r="J165" s="74"/>
    </row>
    <row r="166" spans="1:10" ht="21.6" customHeight="1" x14ac:dyDescent="0.15">
      <c r="A166" s="316" t="s">
        <v>1279</v>
      </c>
      <c r="B166" s="127"/>
      <c r="C166" s="12" t="s">
        <v>876</v>
      </c>
      <c r="D166" s="51">
        <v>4500000</v>
      </c>
      <c r="E166" s="51">
        <v>4500000</v>
      </c>
      <c r="F166" s="74"/>
      <c r="G166" s="387" t="s">
        <v>1056</v>
      </c>
      <c r="H166" s="19"/>
      <c r="I166" s="60"/>
      <c r="J166" s="74"/>
    </row>
    <row r="167" spans="1:10" ht="21.6" customHeight="1" x14ac:dyDescent="0.15">
      <c r="A167" s="87"/>
      <c r="B167" s="127"/>
      <c r="C167" s="12" t="s">
        <v>879</v>
      </c>
      <c r="D167" s="51">
        <v>500000</v>
      </c>
      <c r="E167" s="51"/>
      <c r="F167" s="120"/>
      <c r="G167" s="387"/>
      <c r="H167" s="14"/>
      <c r="I167" s="58"/>
      <c r="J167" s="135"/>
    </row>
    <row r="168" spans="1:10" ht="21.6" customHeight="1" x14ac:dyDescent="0.15">
      <c r="A168" s="87"/>
      <c r="B168" s="316"/>
      <c r="C168" s="12" t="s">
        <v>897</v>
      </c>
      <c r="D168" s="51">
        <v>1400000</v>
      </c>
      <c r="E168" s="51">
        <v>1500000</v>
      </c>
      <c r="F168" s="120"/>
      <c r="G168" s="387" t="s">
        <v>1063</v>
      </c>
      <c r="H168" s="14"/>
      <c r="I168" s="58"/>
      <c r="J168" s="74"/>
    </row>
    <row r="169" spans="1:10" ht="21.6" customHeight="1" x14ac:dyDescent="0.15">
      <c r="A169" s="87"/>
      <c r="B169" s="101"/>
      <c r="C169" s="12" t="s">
        <v>1348</v>
      </c>
      <c r="D169" s="51"/>
      <c r="E169" s="51">
        <v>396000</v>
      </c>
      <c r="F169" s="120"/>
      <c r="G169" s="387" t="s">
        <v>1062</v>
      </c>
      <c r="H169" s="14"/>
      <c r="I169" s="58"/>
      <c r="J169" s="74"/>
    </row>
    <row r="170" spans="1:10" ht="21.6" customHeight="1" x14ac:dyDescent="0.15">
      <c r="A170" s="316"/>
      <c r="B170" s="95"/>
      <c r="C170" s="315" t="s">
        <v>1391</v>
      </c>
      <c r="D170" s="69"/>
      <c r="E170" s="69">
        <v>11500000</v>
      </c>
      <c r="F170" s="129"/>
      <c r="G170" s="387" t="s">
        <v>1392</v>
      </c>
      <c r="H170" s="14"/>
      <c r="I170" s="58"/>
      <c r="J170" s="174"/>
    </row>
    <row r="171" spans="1:10" ht="21.6" customHeight="1" x14ac:dyDescent="0.15">
      <c r="A171" s="316"/>
      <c r="B171" s="95"/>
      <c r="C171" s="104" t="s">
        <v>1352</v>
      </c>
      <c r="D171" s="69"/>
      <c r="E171" s="69">
        <v>29000000</v>
      </c>
      <c r="F171" s="129"/>
      <c r="G171" s="387" t="s">
        <v>1138</v>
      </c>
      <c r="H171" s="14"/>
      <c r="I171" s="58"/>
      <c r="J171" s="174"/>
    </row>
    <row r="172" spans="1:10" ht="21.6" customHeight="1" thickBot="1" x14ac:dyDescent="0.2">
      <c r="A172" s="316"/>
      <c r="B172" s="317"/>
      <c r="C172" s="151" t="s">
        <v>1351</v>
      </c>
      <c r="D172" s="141"/>
      <c r="E172" s="141">
        <v>5000000</v>
      </c>
      <c r="F172" s="157"/>
      <c r="G172" s="142" t="s">
        <v>1065</v>
      </c>
      <c r="H172" s="143"/>
      <c r="I172" s="144"/>
      <c r="J172" s="163"/>
    </row>
    <row r="173" spans="1:10" ht="21.6" customHeight="1" x14ac:dyDescent="0.15">
      <c r="A173" s="316"/>
      <c r="B173" s="145" t="s">
        <v>1393</v>
      </c>
      <c r="C173" s="332" t="s">
        <v>1276</v>
      </c>
      <c r="D173" s="343">
        <f>SUM(D174:D199)</f>
        <v>61096000</v>
      </c>
      <c r="E173" s="343">
        <f>SUM(E174:E199)</f>
        <v>17195290</v>
      </c>
      <c r="F173" s="159"/>
      <c r="G173" s="138"/>
      <c r="H173" s="139"/>
      <c r="I173" s="140"/>
      <c r="J173" s="180"/>
    </row>
    <row r="174" spans="1:10" ht="21.6" customHeight="1" x14ac:dyDescent="0.15">
      <c r="A174" s="316"/>
      <c r="B174" s="316" t="s">
        <v>1342</v>
      </c>
      <c r="C174" s="12" t="s">
        <v>862</v>
      </c>
      <c r="D174" s="51">
        <v>4800000</v>
      </c>
      <c r="E174" s="51">
        <v>4640000</v>
      </c>
      <c r="F174" s="120"/>
      <c r="G174" s="98" t="s">
        <v>1394</v>
      </c>
      <c r="H174" s="14"/>
      <c r="I174" s="58"/>
      <c r="J174" s="326"/>
    </row>
    <row r="175" spans="1:10" ht="21.6" customHeight="1" x14ac:dyDescent="0.15">
      <c r="A175" s="316"/>
      <c r="B175" s="316" t="s">
        <v>1395</v>
      </c>
      <c r="C175" s="12" t="s">
        <v>863</v>
      </c>
      <c r="D175" s="51">
        <v>2160000</v>
      </c>
      <c r="E175" s="51">
        <v>1620000</v>
      </c>
      <c r="F175" s="120"/>
      <c r="G175" s="98" t="s">
        <v>1396</v>
      </c>
      <c r="H175" s="14"/>
      <c r="I175" s="58"/>
      <c r="J175" s="326"/>
    </row>
    <row r="176" spans="1:10" ht="21.6" customHeight="1" x14ac:dyDescent="0.15">
      <c r="A176" s="316"/>
      <c r="B176" s="316" t="s">
        <v>1397</v>
      </c>
      <c r="C176" s="12" t="s">
        <v>898</v>
      </c>
      <c r="D176" s="51">
        <v>560000</v>
      </c>
      <c r="E176" s="51"/>
      <c r="F176" s="120"/>
      <c r="G176" s="98"/>
      <c r="H176" s="14"/>
      <c r="I176" s="58"/>
      <c r="J176" s="326"/>
    </row>
    <row r="177" spans="1:10" ht="21.6" customHeight="1" x14ac:dyDescent="0.15">
      <c r="A177" s="316"/>
      <c r="B177" s="316"/>
      <c r="C177" s="12" t="s">
        <v>891</v>
      </c>
      <c r="D177" s="51">
        <v>180000</v>
      </c>
      <c r="E177" s="51"/>
      <c r="F177" s="120"/>
      <c r="G177" s="98"/>
      <c r="H177" s="14"/>
      <c r="I177" s="58"/>
      <c r="J177" s="326"/>
    </row>
    <row r="178" spans="1:10" ht="21.6" customHeight="1" x14ac:dyDescent="0.15">
      <c r="A178" s="316"/>
      <c r="B178" s="316"/>
      <c r="C178" s="12" t="s">
        <v>892</v>
      </c>
      <c r="D178" s="51">
        <v>1000000</v>
      </c>
      <c r="E178" s="51">
        <v>200000</v>
      </c>
      <c r="F178" s="120"/>
      <c r="G178" s="98" t="s">
        <v>1139</v>
      </c>
      <c r="H178" s="14"/>
      <c r="I178" s="58"/>
      <c r="J178" s="326"/>
    </row>
    <row r="179" spans="1:10" ht="21.6" customHeight="1" x14ac:dyDescent="0.15">
      <c r="A179" s="316"/>
      <c r="B179" s="316"/>
      <c r="C179" s="12" t="s">
        <v>864</v>
      </c>
      <c r="D179" s="51">
        <v>900000</v>
      </c>
      <c r="E179" s="51">
        <v>540000</v>
      </c>
      <c r="F179" s="120"/>
      <c r="G179" s="98" t="s">
        <v>1398</v>
      </c>
      <c r="H179" s="14"/>
      <c r="I179" s="58"/>
      <c r="J179" s="326"/>
    </row>
    <row r="180" spans="1:10" ht="21.6" customHeight="1" x14ac:dyDescent="0.15">
      <c r="A180" s="316"/>
      <c r="B180" s="316"/>
      <c r="C180" s="12" t="s">
        <v>865</v>
      </c>
      <c r="D180" s="51">
        <v>600000</v>
      </c>
      <c r="E180" s="51">
        <v>600000</v>
      </c>
      <c r="F180" s="120"/>
      <c r="G180" s="98" t="s">
        <v>1399</v>
      </c>
      <c r="H180" s="14"/>
      <c r="I180" s="58"/>
      <c r="J180" s="326"/>
    </row>
    <row r="181" spans="1:10" ht="21.6" customHeight="1" x14ac:dyDescent="0.15">
      <c r="A181" s="316"/>
      <c r="B181" s="316"/>
      <c r="C181" s="12" t="s">
        <v>866</v>
      </c>
      <c r="D181" s="51">
        <v>2200000</v>
      </c>
      <c r="E181" s="51">
        <v>1000000</v>
      </c>
      <c r="F181" s="120"/>
      <c r="G181" s="98" t="s">
        <v>1400</v>
      </c>
      <c r="H181" s="14"/>
      <c r="I181" s="58"/>
      <c r="J181" s="326"/>
    </row>
    <row r="182" spans="1:10" ht="21.6" customHeight="1" x14ac:dyDescent="0.15">
      <c r="A182" s="316"/>
      <c r="B182" s="316"/>
      <c r="C182" s="12" t="s">
        <v>867</v>
      </c>
      <c r="D182" s="51">
        <v>3000000</v>
      </c>
      <c r="E182" s="51">
        <v>1065000</v>
      </c>
      <c r="F182" s="120"/>
      <c r="G182" s="98" t="s">
        <v>1401</v>
      </c>
      <c r="H182" s="14"/>
      <c r="I182" s="58"/>
      <c r="J182" s="326"/>
    </row>
    <row r="183" spans="1:10" ht="21.6" customHeight="1" x14ac:dyDescent="0.15">
      <c r="A183" s="316"/>
      <c r="B183" s="316"/>
      <c r="C183" s="12" t="s">
        <v>868</v>
      </c>
      <c r="D183" s="51">
        <v>1400000</v>
      </c>
      <c r="E183" s="51">
        <v>2398370</v>
      </c>
      <c r="F183" s="120"/>
      <c r="G183" s="383" t="s">
        <v>1402</v>
      </c>
      <c r="H183" s="14"/>
      <c r="I183" s="58"/>
      <c r="J183" s="74"/>
    </row>
    <row r="184" spans="1:10" ht="21.6" customHeight="1" x14ac:dyDescent="0.15">
      <c r="A184" s="316"/>
      <c r="B184" s="316"/>
      <c r="C184" s="12" t="s">
        <v>869</v>
      </c>
      <c r="D184" s="51">
        <v>1680000</v>
      </c>
      <c r="E184" s="51"/>
      <c r="F184" s="74"/>
      <c r="G184" s="387"/>
      <c r="H184" s="14"/>
      <c r="I184" s="58"/>
      <c r="J184" s="74"/>
    </row>
    <row r="185" spans="1:10" ht="21.6" customHeight="1" x14ac:dyDescent="0.15">
      <c r="A185" s="316"/>
      <c r="B185" s="316"/>
      <c r="C185" s="12" t="s">
        <v>870</v>
      </c>
      <c r="D185" s="51">
        <v>800000</v>
      </c>
      <c r="E185" s="51"/>
      <c r="F185" s="74"/>
      <c r="G185" s="387"/>
      <c r="H185" s="14"/>
      <c r="I185" s="58"/>
      <c r="J185" s="74"/>
    </row>
    <row r="186" spans="1:10" ht="21.6" customHeight="1" x14ac:dyDescent="0.15">
      <c r="A186" s="316"/>
      <c r="B186" s="316"/>
      <c r="C186" s="12" t="s">
        <v>871</v>
      </c>
      <c r="D186" s="51">
        <v>1100000</v>
      </c>
      <c r="E186" s="51"/>
      <c r="F186" s="74"/>
      <c r="G186" s="387"/>
      <c r="H186" s="14"/>
      <c r="I186" s="58"/>
      <c r="J186" s="74"/>
    </row>
    <row r="187" spans="1:10" ht="21.6" customHeight="1" x14ac:dyDescent="0.15">
      <c r="A187" s="316"/>
      <c r="B187" s="316"/>
      <c r="C187" s="12" t="s">
        <v>872</v>
      </c>
      <c r="D187" s="51">
        <v>1760000</v>
      </c>
      <c r="E187" s="51"/>
      <c r="F187" s="74"/>
      <c r="G187" s="387"/>
      <c r="H187" s="14"/>
      <c r="I187" s="58"/>
      <c r="J187" s="74"/>
    </row>
    <row r="188" spans="1:10" ht="21.6" customHeight="1" x14ac:dyDescent="0.15">
      <c r="A188" s="316"/>
      <c r="B188" s="316"/>
      <c r="C188" s="12" t="s">
        <v>873</v>
      </c>
      <c r="D188" s="51">
        <v>2475000</v>
      </c>
      <c r="E188" s="51"/>
      <c r="F188" s="74"/>
      <c r="G188" s="387"/>
      <c r="H188" s="14"/>
      <c r="I188" s="58"/>
      <c r="J188" s="74"/>
    </row>
    <row r="189" spans="1:10" ht="21.6" customHeight="1" x14ac:dyDescent="0.15">
      <c r="A189" s="316"/>
      <c r="B189" s="316"/>
      <c r="C189" s="12" t="s">
        <v>874</v>
      </c>
      <c r="D189" s="51">
        <v>176000</v>
      </c>
      <c r="E189" s="51"/>
      <c r="F189" s="74"/>
      <c r="G189" s="387"/>
      <c r="H189" s="14"/>
      <c r="I189" s="58"/>
      <c r="J189" s="74"/>
    </row>
    <row r="190" spans="1:10" ht="21.6" customHeight="1" x14ac:dyDescent="0.15">
      <c r="A190" s="316"/>
      <c r="B190" s="316"/>
      <c r="C190" s="12" t="s">
        <v>893</v>
      </c>
      <c r="D190" s="51">
        <v>330000</v>
      </c>
      <c r="E190" s="51"/>
      <c r="F190" s="74"/>
      <c r="G190" s="387"/>
      <c r="H190" s="14"/>
      <c r="I190" s="58"/>
      <c r="J190" s="74"/>
    </row>
    <row r="191" spans="1:10" ht="21.6" customHeight="1" x14ac:dyDescent="0.15">
      <c r="A191" s="316"/>
      <c r="B191" s="316"/>
      <c r="C191" s="12" t="s">
        <v>875</v>
      </c>
      <c r="D191" s="51">
        <v>1100000</v>
      </c>
      <c r="E191" s="51">
        <v>330000</v>
      </c>
      <c r="F191" s="74"/>
      <c r="G191" s="387" t="s">
        <v>1140</v>
      </c>
      <c r="H191" s="14"/>
      <c r="I191" s="58"/>
      <c r="J191" s="74"/>
    </row>
    <row r="192" spans="1:10" ht="21.6" customHeight="1" x14ac:dyDescent="0.15">
      <c r="A192" s="316"/>
      <c r="B192" s="316"/>
      <c r="C192" s="12" t="s">
        <v>896</v>
      </c>
      <c r="D192" s="51">
        <v>500000</v>
      </c>
      <c r="E192" s="51">
        <v>504700</v>
      </c>
      <c r="F192" s="74"/>
      <c r="G192" s="387" t="s">
        <v>1141</v>
      </c>
      <c r="H192" s="14"/>
      <c r="I192" s="58"/>
      <c r="J192" s="74"/>
    </row>
    <row r="193" spans="1:10" ht="21.6" customHeight="1" x14ac:dyDescent="0.15">
      <c r="A193" s="316"/>
      <c r="B193" s="147"/>
      <c r="C193" s="12" t="s">
        <v>1403</v>
      </c>
      <c r="D193" s="51">
        <v>1650000</v>
      </c>
      <c r="E193" s="51">
        <v>880000</v>
      </c>
      <c r="F193" s="74"/>
      <c r="G193" s="387" t="s">
        <v>1404</v>
      </c>
      <c r="H193" s="14"/>
      <c r="I193" s="58"/>
      <c r="J193" s="74"/>
    </row>
    <row r="194" spans="1:10" ht="21.6" customHeight="1" x14ac:dyDescent="0.15">
      <c r="A194" s="316"/>
      <c r="B194" s="316"/>
      <c r="C194" s="12" t="s">
        <v>1347</v>
      </c>
      <c r="D194" s="51">
        <v>800000</v>
      </c>
      <c r="E194" s="51">
        <v>416000</v>
      </c>
      <c r="F194" s="74"/>
      <c r="G194" s="387" t="s">
        <v>1059</v>
      </c>
      <c r="H194" s="14"/>
      <c r="I194" s="58"/>
      <c r="J194" s="74"/>
    </row>
    <row r="195" spans="1:10" ht="21.6" customHeight="1" x14ac:dyDescent="0.15">
      <c r="A195" s="316"/>
      <c r="B195" s="316"/>
      <c r="C195" s="12" t="s">
        <v>879</v>
      </c>
      <c r="D195" s="51">
        <v>400000</v>
      </c>
      <c r="E195" s="51"/>
      <c r="F195" s="120"/>
      <c r="G195" s="387"/>
      <c r="H195" s="14"/>
      <c r="I195" s="58"/>
      <c r="J195" s="74"/>
    </row>
    <row r="196" spans="1:10" ht="21.6" customHeight="1" x14ac:dyDescent="0.15">
      <c r="A196" s="316"/>
      <c r="B196" s="316"/>
      <c r="C196" s="12" t="s">
        <v>880</v>
      </c>
      <c r="D196" s="51">
        <v>525000</v>
      </c>
      <c r="E196" s="51">
        <v>265040</v>
      </c>
      <c r="F196" s="120"/>
      <c r="G196" s="387" t="s">
        <v>1142</v>
      </c>
      <c r="H196" s="14"/>
      <c r="I196" s="58"/>
      <c r="J196" s="74"/>
    </row>
    <row r="197" spans="1:10" ht="21.6" customHeight="1" x14ac:dyDescent="0.15">
      <c r="A197" s="316"/>
      <c r="B197" s="316"/>
      <c r="C197" s="12" t="s">
        <v>881</v>
      </c>
      <c r="D197" s="51">
        <v>22000000</v>
      </c>
      <c r="E197" s="51"/>
      <c r="F197" s="120"/>
      <c r="G197" s="387"/>
      <c r="H197" s="19"/>
      <c r="I197" s="60"/>
      <c r="J197" s="74"/>
    </row>
    <row r="198" spans="1:10" ht="21.6" customHeight="1" x14ac:dyDescent="0.15">
      <c r="A198" s="316"/>
      <c r="B198" s="316"/>
      <c r="C198" s="12" t="s">
        <v>1386</v>
      </c>
      <c r="D198" s="51">
        <v>5500000</v>
      </c>
      <c r="E198" s="51">
        <v>400000</v>
      </c>
      <c r="F198" s="74"/>
      <c r="G198" s="387" t="s">
        <v>1143</v>
      </c>
      <c r="H198" s="19"/>
      <c r="I198" s="60"/>
      <c r="J198" s="74"/>
    </row>
    <row r="199" spans="1:10" ht="21.6" customHeight="1" thickBot="1" x14ac:dyDescent="0.2">
      <c r="A199" s="316"/>
      <c r="B199" s="316"/>
      <c r="C199" s="6" t="s">
        <v>882</v>
      </c>
      <c r="D199" s="53">
        <v>3500000</v>
      </c>
      <c r="E199" s="53">
        <v>2336180</v>
      </c>
      <c r="F199" s="129"/>
      <c r="G199" s="387" t="s">
        <v>1144</v>
      </c>
      <c r="H199" s="9"/>
      <c r="I199" s="56"/>
      <c r="J199" s="72"/>
    </row>
    <row r="200" spans="1:10" s="22" customFormat="1" ht="21.6" customHeight="1" x14ac:dyDescent="0.15">
      <c r="A200" s="316"/>
      <c r="B200" s="164" t="s">
        <v>1405</v>
      </c>
      <c r="C200" s="342" t="s">
        <v>1276</v>
      </c>
      <c r="D200" s="343">
        <f>SUM(D201:D217)</f>
        <v>34141000</v>
      </c>
      <c r="E200" s="343">
        <f>SUM(E201:E217)</f>
        <v>29976070</v>
      </c>
      <c r="F200" s="166"/>
      <c r="G200" s="138"/>
      <c r="H200" s="139"/>
      <c r="I200" s="140"/>
      <c r="J200" s="137"/>
    </row>
    <row r="201" spans="1:10" s="22" customFormat="1" ht="21.6" customHeight="1" x14ac:dyDescent="0.15">
      <c r="A201" s="316"/>
      <c r="B201" s="127" t="s">
        <v>1406</v>
      </c>
      <c r="C201" s="336" t="s">
        <v>899</v>
      </c>
      <c r="D201" s="51">
        <v>3200000</v>
      </c>
      <c r="E201" s="51">
        <v>2400000</v>
      </c>
      <c r="F201" s="120"/>
      <c r="G201" s="387" t="s">
        <v>1145</v>
      </c>
      <c r="H201" s="14"/>
      <c r="I201" s="58"/>
      <c r="J201" s="74"/>
    </row>
    <row r="202" spans="1:10" s="22" customFormat="1" ht="21.6" customHeight="1" x14ac:dyDescent="0.15">
      <c r="A202" s="316"/>
      <c r="B202" s="246" t="s">
        <v>1407</v>
      </c>
      <c r="C202" s="12" t="s">
        <v>864</v>
      </c>
      <c r="D202" s="51">
        <v>540000</v>
      </c>
      <c r="E202" s="51">
        <v>1080000</v>
      </c>
      <c r="F202" s="74"/>
      <c r="G202" s="387" t="s">
        <v>1146</v>
      </c>
      <c r="H202" s="345"/>
      <c r="I202" s="58"/>
      <c r="J202" s="74"/>
    </row>
    <row r="203" spans="1:10" s="22" customFormat="1" ht="21.6" customHeight="1" x14ac:dyDescent="0.15">
      <c r="A203" s="316"/>
      <c r="B203" s="316" t="s">
        <v>1408</v>
      </c>
      <c r="C203" s="12" t="s">
        <v>867</v>
      </c>
      <c r="D203" s="51">
        <v>2700000</v>
      </c>
      <c r="E203" s="51">
        <v>1400000</v>
      </c>
      <c r="F203" s="74"/>
      <c r="G203" s="387" t="s">
        <v>1147</v>
      </c>
      <c r="H203" s="14"/>
      <c r="I203" s="58"/>
      <c r="J203" s="74"/>
    </row>
    <row r="204" spans="1:10" s="22" customFormat="1" ht="21.6" customHeight="1" x14ac:dyDescent="0.15">
      <c r="A204" s="316"/>
      <c r="B204" s="316"/>
      <c r="C204" s="12" t="s">
        <v>868</v>
      </c>
      <c r="D204" s="51">
        <v>966000</v>
      </c>
      <c r="E204" s="51">
        <v>1130320</v>
      </c>
      <c r="F204" s="74"/>
      <c r="G204" s="387" t="s">
        <v>1148</v>
      </c>
      <c r="H204" s="346"/>
      <c r="I204" s="58"/>
      <c r="J204" s="74"/>
    </row>
    <row r="205" spans="1:10" s="22" customFormat="1" ht="21.6" customHeight="1" x14ac:dyDescent="0.15">
      <c r="A205" s="316"/>
      <c r="B205" s="316"/>
      <c r="C205" s="12" t="s">
        <v>892</v>
      </c>
      <c r="D205" s="51">
        <v>1150000</v>
      </c>
      <c r="E205" s="51">
        <v>1050000</v>
      </c>
      <c r="F205" s="74"/>
      <c r="G205" s="387" t="s">
        <v>1149</v>
      </c>
      <c r="H205" s="346"/>
      <c r="I205" s="58"/>
      <c r="J205" s="74"/>
    </row>
    <row r="206" spans="1:10" s="22" customFormat="1" ht="21.6" customHeight="1" x14ac:dyDescent="0.15">
      <c r="A206" s="316"/>
      <c r="B206" s="316"/>
      <c r="C206" s="12" t="s">
        <v>1409</v>
      </c>
      <c r="D206" s="51">
        <v>14000000</v>
      </c>
      <c r="E206" s="51">
        <v>14000000</v>
      </c>
      <c r="F206" s="74"/>
      <c r="G206" s="387" t="s">
        <v>1150</v>
      </c>
      <c r="H206" s="346"/>
      <c r="I206" s="58"/>
      <c r="J206" s="74"/>
    </row>
    <row r="207" spans="1:10" s="22" customFormat="1" ht="21.6" customHeight="1" x14ac:dyDescent="0.15">
      <c r="A207" s="316"/>
      <c r="B207" s="316"/>
      <c r="C207" s="12" t="s">
        <v>900</v>
      </c>
      <c r="D207" s="51">
        <v>4000000</v>
      </c>
      <c r="E207" s="51">
        <v>4300000</v>
      </c>
      <c r="F207" s="74"/>
      <c r="G207" s="387" t="s">
        <v>1151</v>
      </c>
      <c r="H207" s="14"/>
      <c r="I207" s="58"/>
      <c r="J207" s="326"/>
    </row>
    <row r="208" spans="1:10" s="22" customFormat="1" ht="21.6" customHeight="1" x14ac:dyDescent="0.15">
      <c r="A208" s="316"/>
      <c r="B208" s="316"/>
      <c r="C208" s="12" t="s">
        <v>1410</v>
      </c>
      <c r="D208" s="51">
        <v>500000</v>
      </c>
      <c r="E208" s="51">
        <v>175000</v>
      </c>
      <c r="F208" s="74"/>
      <c r="G208" s="387" t="s">
        <v>1152</v>
      </c>
      <c r="H208" s="14"/>
      <c r="I208" s="58"/>
      <c r="J208" s="74"/>
    </row>
    <row r="209" spans="1:10" s="22" customFormat="1" ht="21.6" customHeight="1" x14ac:dyDescent="0.15">
      <c r="A209" s="316"/>
      <c r="B209" s="316"/>
      <c r="C209" s="12" t="s">
        <v>1403</v>
      </c>
      <c r="D209" s="51">
        <v>1100000</v>
      </c>
      <c r="E209" s="51">
        <v>1925000</v>
      </c>
      <c r="F209" s="74"/>
      <c r="G209" s="387" t="s">
        <v>1153</v>
      </c>
      <c r="H209" s="14"/>
      <c r="I209" s="58"/>
      <c r="J209" s="74"/>
    </row>
    <row r="210" spans="1:10" s="22" customFormat="1" ht="21.6" customHeight="1" x14ac:dyDescent="0.15">
      <c r="A210" s="316"/>
      <c r="B210" s="316"/>
      <c r="C210" s="12" t="s">
        <v>901</v>
      </c>
      <c r="D210" s="51">
        <v>2000000</v>
      </c>
      <c r="E210" s="51"/>
      <c r="F210" s="120"/>
      <c r="G210" s="387"/>
      <c r="H210" s="19"/>
      <c r="I210" s="60"/>
      <c r="J210" s="74"/>
    </row>
    <row r="211" spans="1:10" s="22" customFormat="1" ht="21.6" customHeight="1" x14ac:dyDescent="0.15">
      <c r="A211" s="316"/>
      <c r="B211" s="316"/>
      <c r="C211" s="12" t="s">
        <v>870</v>
      </c>
      <c r="D211" s="51">
        <v>300000</v>
      </c>
      <c r="E211" s="51"/>
      <c r="F211" s="74"/>
      <c r="G211" s="387"/>
      <c r="H211" s="19"/>
      <c r="I211" s="60"/>
      <c r="J211" s="74"/>
    </row>
    <row r="212" spans="1:10" s="22" customFormat="1" ht="21.6" customHeight="1" x14ac:dyDescent="0.15">
      <c r="A212" s="316"/>
      <c r="B212" s="127"/>
      <c r="C212" s="12" t="s">
        <v>902</v>
      </c>
      <c r="D212" s="51">
        <v>330000</v>
      </c>
      <c r="E212" s="51">
        <v>220000</v>
      </c>
      <c r="F212" s="74"/>
      <c r="G212" s="387" t="s">
        <v>902</v>
      </c>
      <c r="H212" s="19"/>
      <c r="I212" s="60"/>
      <c r="J212" s="74"/>
    </row>
    <row r="213" spans="1:10" s="22" customFormat="1" ht="21.6" customHeight="1" x14ac:dyDescent="0.15">
      <c r="A213" s="316"/>
      <c r="B213" s="127"/>
      <c r="C213" s="12" t="s">
        <v>903</v>
      </c>
      <c r="D213" s="51">
        <v>1380000</v>
      </c>
      <c r="E213" s="51">
        <v>1274000</v>
      </c>
      <c r="F213" s="74"/>
      <c r="G213" s="387" t="s">
        <v>903</v>
      </c>
      <c r="H213" s="19"/>
      <c r="I213" s="60"/>
      <c r="J213" s="74"/>
    </row>
    <row r="214" spans="1:10" s="22" customFormat="1" ht="21.6" customHeight="1" x14ac:dyDescent="0.15">
      <c r="A214" s="316"/>
      <c r="B214" s="127"/>
      <c r="C214" s="12" t="s">
        <v>896</v>
      </c>
      <c r="D214" s="51">
        <v>300000</v>
      </c>
      <c r="E214" s="51">
        <v>313500</v>
      </c>
      <c r="F214" s="74"/>
      <c r="G214" s="387" t="s">
        <v>1411</v>
      </c>
      <c r="H214" s="19"/>
      <c r="I214" s="60"/>
      <c r="J214" s="74"/>
    </row>
    <row r="215" spans="1:10" s="22" customFormat="1" ht="21.6" customHeight="1" x14ac:dyDescent="0.15">
      <c r="A215" s="316"/>
      <c r="B215" s="127"/>
      <c r="C215" s="12" t="s">
        <v>889</v>
      </c>
      <c r="D215" s="51">
        <v>700000</v>
      </c>
      <c r="E215" s="51">
        <v>474850</v>
      </c>
      <c r="F215" s="74"/>
      <c r="G215" s="387" t="s">
        <v>1098</v>
      </c>
      <c r="H215" s="19"/>
      <c r="I215" s="60"/>
      <c r="J215" s="74"/>
    </row>
    <row r="216" spans="1:10" s="22" customFormat="1" ht="21.6" customHeight="1" x14ac:dyDescent="0.15">
      <c r="A216" s="316"/>
      <c r="B216" s="127"/>
      <c r="C216" s="12" t="s">
        <v>879</v>
      </c>
      <c r="D216" s="51">
        <v>400000</v>
      </c>
      <c r="E216" s="51">
        <v>233400</v>
      </c>
      <c r="F216" s="120"/>
      <c r="G216" s="387" t="s">
        <v>1154</v>
      </c>
      <c r="H216" s="14"/>
      <c r="I216" s="58"/>
      <c r="J216" s="135"/>
    </row>
    <row r="217" spans="1:10" s="22" customFormat="1" ht="21.6" customHeight="1" thickBot="1" x14ac:dyDescent="0.2">
      <c r="A217" s="316"/>
      <c r="B217" s="127"/>
      <c r="C217" s="12" t="s">
        <v>904</v>
      </c>
      <c r="D217" s="51">
        <v>575000</v>
      </c>
      <c r="E217" s="51"/>
      <c r="F217" s="120"/>
      <c r="G217" s="387"/>
      <c r="H217" s="14"/>
      <c r="I217" s="58"/>
      <c r="J217" s="74"/>
    </row>
    <row r="218" spans="1:10" s="22" customFormat="1" ht="18.2" customHeight="1" x14ac:dyDescent="0.15">
      <c r="A218" s="316"/>
      <c r="B218" s="145" t="s">
        <v>1360</v>
      </c>
      <c r="C218" s="332" t="s">
        <v>1276</v>
      </c>
      <c r="D218" s="343">
        <f>SUM(D219:D240)</f>
        <v>35226000</v>
      </c>
      <c r="E218" s="343">
        <f>SUM(E219:E240)</f>
        <v>30338860</v>
      </c>
      <c r="F218" s="166"/>
      <c r="G218" s="138"/>
      <c r="H218" s="139"/>
      <c r="I218" s="140"/>
      <c r="J218" s="180"/>
    </row>
    <row r="219" spans="1:10" s="22" customFormat="1" ht="18.2" customHeight="1" x14ac:dyDescent="0.15">
      <c r="A219" s="316"/>
      <c r="B219" s="316" t="s">
        <v>1412</v>
      </c>
      <c r="C219" s="12" t="s">
        <v>1382</v>
      </c>
      <c r="D219" s="51">
        <v>4800000</v>
      </c>
      <c r="E219" s="51">
        <v>5360000</v>
      </c>
      <c r="F219" s="120"/>
      <c r="G219" s="387" t="s">
        <v>1155</v>
      </c>
      <c r="H219" s="19"/>
      <c r="I219" s="60"/>
      <c r="J219" s="74"/>
    </row>
    <row r="220" spans="1:10" s="22" customFormat="1" ht="18.2" customHeight="1" x14ac:dyDescent="0.15">
      <c r="A220" s="316"/>
      <c r="B220" s="316" t="s">
        <v>1342</v>
      </c>
      <c r="C220" s="12" t="s">
        <v>1383</v>
      </c>
      <c r="D220" s="51">
        <v>1800000</v>
      </c>
      <c r="E220" s="51">
        <v>1620000</v>
      </c>
      <c r="F220" s="74"/>
      <c r="G220" s="387" t="s">
        <v>1156</v>
      </c>
      <c r="H220" s="19"/>
      <c r="I220" s="60"/>
      <c r="J220" s="74"/>
    </row>
    <row r="221" spans="1:10" s="22" customFormat="1" ht="18.2" customHeight="1" x14ac:dyDescent="0.15">
      <c r="A221" s="316"/>
      <c r="B221" s="146" t="s">
        <v>1343</v>
      </c>
      <c r="C221" s="12" t="s">
        <v>892</v>
      </c>
      <c r="D221" s="51">
        <v>500000</v>
      </c>
      <c r="E221" s="51"/>
      <c r="F221" s="74"/>
      <c r="G221" s="387"/>
      <c r="H221" s="19"/>
      <c r="I221" s="60"/>
      <c r="J221" s="74"/>
    </row>
    <row r="222" spans="1:10" s="22" customFormat="1" ht="18.2" customHeight="1" x14ac:dyDescent="0.15">
      <c r="A222" s="316"/>
      <c r="B222" s="316"/>
      <c r="C222" s="12" t="s">
        <v>1366</v>
      </c>
      <c r="D222" s="51">
        <v>720000</v>
      </c>
      <c r="E222" s="51">
        <v>180000</v>
      </c>
      <c r="F222" s="74"/>
      <c r="G222" s="387" t="s">
        <v>1157</v>
      </c>
      <c r="H222" s="19"/>
      <c r="I222" s="60"/>
      <c r="J222" s="74"/>
    </row>
    <row r="223" spans="1:10" s="22" customFormat="1" ht="18.2" customHeight="1" x14ac:dyDescent="0.15">
      <c r="A223" s="316"/>
      <c r="B223" s="316"/>
      <c r="C223" s="12" t="s">
        <v>1367</v>
      </c>
      <c r="D223" s="51">
        <v>540000</v>
      </c>
      <c r="E223" s="51">
        <v>270000</v>
      </c>
      <c r="F223" s="74"/>
      <c r="G223" s="387" t="s">
        <v>1158</v>
      </c>
      <c r="H223" s="19"/>
      <c r="I223" s="60"/>
      <c r="J223" s="74"/>
    </row>
    <row r="224" spans="1:10" s="22" customFormat="1" ht="18.2" customHeight="1" x14ac:dyDescent="0.15">
      <c r="A224" s="316"/>
      <c r="B224" s="316"/>
      <c r="C224" s="12" t="s">
        <v>867</v>
      </c>
      <c r="D224" s="51">
        <v>1500000</v>
      </c>
      <c r="E224" s="51">
        <v>1600000</v>
      </c>
      <c r="F224" s="74"/>
      <c r="G224" s="387" t="s">
        <v>1159</v>
      </c>
      <c r="H224" s="19"/>
      <c r="I224" s="60"/>
      <c r="J224" s="74"/>
    </row>
    <row r="225" spans="1:10" s="22" customFormat="1" ht="18.2" customHeight="1" x14ac:dyDescent="0.15">
      <c r="A225" s="316"/>
      <c r="B225" s="316"/>
      <c r="C225" s="12" t="s">
        <v>868</v>
      </c>
      <c r="D225" s="51">
        <v>1050000</v>
      </c>
      <c r="E225" s="51">
        <v>899200</v>
      </c>
      <c r="F225" s="74"/>
      <c r="G225" s="387" t="s">
        <v>1160</v>
      </c>
      <c r="H225" s="19"/>
      <c r="I225" s="60"/>
      <c r="J225" s="74"/>
    </row>
    <row r="226" spans="1:10" s="22" customFormat="1" ht="18.2" customHeight="1" x14ac:dyDescent="0.15">
      <c r="A226" s="316"/>
      <c r="B226" s="316"/>
      <c r="C226" s="12" t="s">
        <v>869</v>
      </c>
      <c r="D226" s="51">
        <v>1155000</v>
      </c>
      <c r="E226" s="51">
        <v>1260000</v>
      </c>
      <c r="F226" s="74"/>
      <c r="G226" s="387" t="s">
        <v>1161</v>
      </c>
      <c r="H226" s="19"/>
      <c r="I226" s="60"/>
      <c r="J226" s="74"/>
    </row>
    <row r="227" spans="1:10" s="22" customFormat="1" ht="18.2" customHeight="1" x14ac:dyDescent="0.15">
      <c r="A227" s="316"/>
      <c r="B227" s="316"/>
      <c r="C227" s="12" t="s">
        <v>870</v>
      </c>
      <c r="D227" s="51">
        <v>600000</v>
      </c>
      <c r="E227" s="51">
        <v>447070</v>
      </c>
      <c r="F227" s="74"/>
      <c r="G227" s="387" t="s">
        <v>1162</v>
      </c>
      <c r="H227" s="19"/>
      <c r="I227" s="60"/>
      <c r="J227" s="74"/>
    </row>
    <row r="228" spans="1:10" s="22" customFormat="1" ht="18.2" customHeight="1" x14ac:dyDescent="0.15">
      <c r="A228" s="316"/>
      <c r="B228" s="316"/>
      <c r="C228" s="12" t="s">
        <v>871</v>
      </c>
      <c r="D228" s="51">
        <v>1100000</v>
      </c>
      <c r="E228" s="51">
        <v>1100000</v>
      </c>
      <c r="F228" s="74"/>
      <c r="G228" s="387" t="s">
        <v>1053</v>
      </c>
      <c r="H228" s="19"/>
      <c r="I228" s="60"/>
      <c r="J228" s="74"/>
    </row>
    <row r="229" spans="1:10" s="22" customFormat="1" ht="18.2" customHeight="1" x14ac:dyDescent="0.15">
      <c r="A229" s="316"/>
      <c r="B229" s="316"/>
      <c r="C229" s="12" t="s">
        <v>872</v>
      </c>
      <c r="D229" s="51">
        <v>1760000</v>
      </c>
      <c r="E229" s="51">
        <v>1760000</v>
      </c>
      <c r="F229" s="74"/>
      <c r="G229" s="387" t="s">
        <v>1129</v>
      </c>
      <c r="H229" s="19"/>
      <c r="I229" s="60"/>
      <c r="J229" s="74"/>
    </row>
    <row r="230" spans="1:10" s="22" customFormat="1" ht="18.2" customHeight="1" x14ac:dyDescent="0.15">
      <c r="A230" s="316"/>
      <c r="B230" s="316"/>
      <c r="C230" s="12" t="s">
        <v>1384</v>
      </c>
      <c r="D230" s="51">
        <v>2475000</v>
      </c>
      <c r="E230" s="51">
        <v>2380950</v>
      </c>
      <c r="F230" s="74"/>
      <c r="G230" s="387" t="s">
        <v>1163</v>
      </c>
      <c r="H230" s="19"/>
      <c r="I230" s="60"/>
      <c r="J230" s="74"/>
    </row>
    <row r="231" spans="1:10" s="22" customFormat="1" ht="18.2" customHeight="1" x14ac:dyDescent="0.15">
      <c r="A231" s="316"/>
      <c r="B231" s="316"/>
      <c r="C231" s="12" t="s">
        <v>874</v>
      </c>
      <c r="D231" s="51">
        <v>176000</v>
      </c>
      <c r="E231" s="51">
        <v>88000</v>
      </c>
      <c r="F231" s="74"/>
      <c r="G231" s="387" t="s">
        <v>1131</v>
      </c>
      <c r="H231" s="19"/>
      <c r="I231" s="60"/>
      <c r="J231" s="74"/>
    </row>
    <row r="232" spans="1:10" s="22" customFormat="1" ht="18.2" customHeight="1" x14ac:dyDescent="0.15">
      <c r="A232" s="316"/>
      <c r="B232" s="316"/>
      <c r="C232" s="12" t="s">
        <v>883</v>
      </c>
      <c r="D232" s="51">
        <v>550000</v>
      </c>
      <c r="E232" s="51"/>
      <c r="F232" s="74"/>
      <c r="G232" s="387"/>
      <c r="H232" s="19"/>
      <c r="I232" s="60"/>
      <c r="J232" s="74"/>
    </row>
    <row r="233" spans="1:10" s="22" customFormat="1" ht="18.2" customHeight="1" x14ac:dyDescent="0.15">
      <c r="A233" s="316"/>
      <c r="B233" s="316"/>
      <c r="C233" s="12" t="s">
        <v>1403</v>
      </c>
      <c r="D233" s="51">
        <v>1650000</v>
      </c>
      <c r="E233" s="51"/>
      <c r="F233" s="74"/>
      <c r="G233" s="387"/>
      <c r="H233" s="19"/>
      <c r="I233" s="60"/>
      <c r="J233" s="74"/>
    </row>
    <row r="234" spans="1:10" s="22" customFormat="1" ht="18.2" customHeight="1" x14ac:dyDescent="0.15">
      <c r="A234" s="316"/>
      <c r="B234" s="316"/>
      <c r="C234" s="12" t="s">
        <v>1347</v>
      </c>
      <c r="D234" s="51">
        <v>600000</v>
      </c>
      <c r="E234" s="51">
        <v>246000</v>
      </c>
      <c r="F234" s="74"/>
      <c r="G234" s="387" t="s">
        <v>1152</v>
      </c>
      <c r="H234" s="19"/>
      <c r="I234" s="60"/>
      <c r="J234" s="74"/>
    </row>
    <row r="235" spans="1:10" s="22" customFormat="1" ht="18.2" customHeight="1" x14ac:dyDescent="0.15">
      <c r="A235" s="316"/>
      <c r="B235" s="316"/>
      <c r="C235" s="12" t="s">
        <v>894</v>
      </c>
      <c r="D235" s="51">
        <v>8000000</v>
      </c>
      <c r="E235" s="51">
        <v>8000000</v>
      </c>
      <c r="F235" s="120"/>
      <c r="G235" s="387" t="s">
        <v>1164</v>
      </c>
      <c r="H235" s="14"/>
      <c r="I235" s="58"/>
      <c r="J235" s="74"/>
    </row>
    <row r="236" spans="1:10" s="22" customFormat="1" ht="18.2" customHeight="1" x14ac:dyDescent="0.15">
      <c r="A236" s="316"/>
      <c r="B236" s="316"/>
      <c r="C236" s="12" t="s">
        <v>880</v>
      </c>
      <c r="D236" s="51">
        <v>450000</v>
      </c>
      <c r="E236" s="51">
        <v>277640</v>
      </c>
      <c r="F236" s="120"/>
      <c r="G236" s="387" t="s">
        <v>1165</v>
      </c>
      <c r="H236" s="19"/>
      <c r="I236" s="60"/>
      <c r="J236" s="74"/>
    </row>
    <row r="237" spans="1:10" s="22" customFormat="1" ht="18.2" customHeight="1" x14ac:dyDescent="0.15">
      <c r="A237" s="316"/>
      <c r="B237" s="316"/>
      <c r="C237" s="12" t="s">
        <v>1413</v>
      </c>
      <c r="D237" s="51">
        <v>300000</v>
      </c>
      <c r="E237" s="51">
        <v>300000</v>
      </c>
      <c r="F237" s="120"/>
      <c r="G237" s="387" t="s">
        <v>1166</v>
      </c>
      <c r="H237" s="19"/>
      <c r="I237" s="60"/>
      <c r="J237" s="74"/>
    </row>
    <row r="238" spans="1:10" s="22" customFormat="1" ht="18.2" customHeight="1" x14ac:dyDescent="0.15">
      <c r="A238" s="316"/>
      <c r="B238" s="316"/>
      <c r="C238" s="12" t="s">
        <v>1414</v>
      </c>
      <c r="D238" s="51">
        <v>500000</v>
      </c>
      <c r="E238" s="51">
        <v>50000</v>
      </c>
      <c r="F238" s="74"/>
      <c r="G238" s="387" t="s">
        <v>1167</v>
      </c>
      <c r="H238" s="19"/>
      <c r="I238" s="60"/>
      <c r="J238" s="74"/>
    </row>
    <row r="239" spans="1:10" s="22" customFormat="1" ht="18.2" customHeight="1" x14ac:dyDescent="0.15">
      <c r="A239" s="316"/>
      <c r="B239" s="316"/>
      <c r="C239" s="12" t="s">
        <v>906</v>
      </c>
      <c r="D239" s="51">
        <v>500000</v>
      </c>
      <c r="E239" s="51"/>
      <c r="F239" s="74"/>
      <c r="G239" s="387"/>
      <c r="H239" s="19"/>
      <c r="I239" s="60"/>
      <c r="J239" s="74"/>
    </row>
    <row r="240" spans="1:10" s="22" customFormat="1" ht="18.2" customHeight="1" thickBot="1" x14ac:dyDescent="0.2">
      <c r="A240" s="316"/>
      <c r="B240" s="316"/>
      <c r="C240" s="12" t="s">
        <v>876</v>
      </c>
      <c r="D240" s="51">
        <v>4500000</v>
      </c>
      <c r="E240" s="51">
        <v>4500000</v>
      </c>
      <c r="F240" s="74"/>
      <c r="G240" s="387" t="s">
        <v>1056</v>
      </c>
      <c r="H240" s="19"/>
      <c r="I240" s="60"/>
      <c r="J240" s="74"/>
    </row>
    <row r="241" spans="1:10" s="22" customFormat="1" ht="18.2" customHeight="1" x14ac:dyDescent="0.15">
      <c r="A241" s="316"/>
      <c r="B241" s="145" t="s">
        <v>1415</v>
      </c>
      <c r="C241" s="338" t="s">
        <v>1276</v>
      </c>
      <c r="D241" s="339">
        <f>SUM(D242:D259)</f>
        <v>23290000</v>
      </c>
      <c r="E241" s="339">
        <f>SUM(E242:E259)</f>
        <v>18813910</v>
      </c>
      <c r="F241" s="166"/>
      <c r="G241" s="313"/>
      <c r="H241" s="125"/>
      <c r="I241" s="167"/>
      <c r="J241" s="137"/>
    </row>
    <row r="242" spans="1:10" s="22" customFormat="1" ht="18.2" customHeight="1" x14ac:dyDescent="0.15">
      <c r="A242" s="316"/>
      <c r="B242" s="316" t="s">
        <v>1416</v>
      </c>
      <c r="C242" s="12" t="s">
        <v>862</v>
      </c>
      <c r="D242" s="51">
        <v>4800000</v>
      </c>
      <c r="E242" s="51">
        <v>3840000</v>
      </c>
      <c r="F242" s="120"/>
      <c r="G242" s="98" t="s">
        <v>1168</v>
      </c>
      <c r="H242" s="14"/>
      <c r="I242" s="58"/>
      <c r="J242" s="72"/>
    </row>
    <row r="243" spans="1:10" s="22" customFormat="1" ht="18.2" customHeight="1" x14ac:dyDescent="0.15">
      <c r="A243" s="316"/>
      <c r="B243" s="316" t="s">
        <v>1358</v>
      </c>
      <c r="C243" s="12" t="s">
        <v>863</v>
      </c>
      <c r="D243" s="51">
        <v>2160000</v>
      </c>
      <c r="E243" s="51">
        <v>3060000</v>
      </c>
      <c r="F243" s="120"/>
      <c r="G243" s="98" t="s">
        <v>1169</v>
      </c>
      <c r="H243" s="14"/>
      <c r="I243" s="58"/>
      <c r="J243" s="72"/>
    </row>
    <row r="244" spans="1:10" s="22" customFormat="1" ht="18.2" customHeight="1" x14ac:dyDescent="0.15">
      <c r="A244" s="316"/>
      <c r="B244" s="316"/>
      <c r="C244" s="12" t="s">
        <v>1417</v>
      </c>
      <c r="D244" s="51"/>
      <c r="E244" s="51">
        <v>3432000</v>
      </c>
      <c r="F244" s="120"/>
      <c r="G244" s="98" t="s">
        <v>1170</v>
      </c>
      <c r="H244" s="14"/>
      <c r="I244" s="58"/>
      <c r="J244" s="72"/>
    </row>
    <row r="245" spans="1:10" s="22" customFormat="1" ht="18.2" customHeight="1" x14ac:dyDescent="0.15">
      <c r="A245" s="316"/>
      <c r="B245" s="316"/>
      <c r="C245" s="12" t="s">
        <v>1418</v>
      </c>
      <c r="D245" s="51">
        <v>1600000</v>
      </c>
      <c r="E245" s="51">
        <v>1650000</v>
      </c>
      <c r="F245" s="120"/>
      <c r="G245" s="98" t="s">
        <v>1171</v>
      </c>
      <c r="H245" s="14"/>
      <c r="I245" s="58"/>
      <c r="J245" s="72"/>
    </row>
    <row r="246" spans="1:10" s="22" customFormat="1" ht="18.2" customHeight="1" x14ac:dyDescent="0.15">
      <c r="A246" s="316"/>
      <c r="B246" s="316"/>
      <c r="C246" s="12" t="s">
        <v>864</v>
      </c>
      <c r="D246" s="51">
        <v>720000</v>
      </c>
      <c r="E246" s="51"/>
      <c r="F246" s="120"/>
      <c r="G246" s="98"/>
      <c r="H246" s="14"/>
      <c r="I246" s="58"/>
      <c r="J246" s="72"/>
    </row>
    <row r="247" spans="1:10" s="22" customFormat="1" ht="18.2" customHeight="1" x14ac:dyDescent="0.15">
      <c r="A247" s="316"/>
      <c r="B247" s="316"/>
      <c r="C247" s="12" t="s">
        <v>865</v>
      </c>
      <c r="D247" s="51">
        <v>450000</v>
      </c>
      <c r="E247" s="51"/>
      <c r="F247" s="120"/>
      <c r="G247" s="98"/>
      <c r="H247" s="14"/>
      <c r="I247" s="58"/>
      <c r="J247" s="72"/>
    </row>
    <row r="248" spans="1:10" s="22" customFormat="1" ht="18.2" customHeight="1" x14ac:dyDescent="0.15">
      <c r="A248" s="316"/>
      <c r="B248" s="316"/>
      <c r="C248" s="12" t="s">
        <v>867</v>
      </c>
      <c r="D248" s="51">
        <v>3000000</v>
      </c>
      <c r="E248" s="51">
        <v>4090000</v>
      </c>
      <c r="F248" s="120"/>
      <c r="G248" s="98" t="s">
        <v>1172</v>
      </c>
      <c r="H248" s="14"/>
      <c r="I248" s="58"/>
      <c r="J248" s="72"/>
    </row>
    <row r="249" spans="1:10" s="22" customFormat="1" ht="18.2" customHeight="1" x14ac:dyDescent="0.15">
      <c r="A249" s="316"/>
      <c r="B249" s="316"/>
      <c r="C249" s="12" t="s">
        <v>868</v>
      </c>
      <c r="D249" s="51">
        <v>1050000</v>
      </c>
      <c r="E249" s="51">
        <v>584700</v>
      </c>
      <c r="F249" s="120"/>
      <c r="G249" s="98" t="s">
        <v>1173</v>
      </c>
      <c r="H249" s="14"/>
      <c r="I249" s="58"/>
      <c r="J249" s="72"/>
    </row>
    <row r="250" spans="1:10" s="22" customFormat="1" ht="18" customHeight="1" x14ac:dyDescent="0.15">
      <c r="A250" s="316"/>
      <c r="B250" s="316"/>
      <c r="C250" s="12" t="s">
        <v>869</v>
      </c>
      <c r="D250" s="51">
        <v>1260000</v>
      </c>
      <c r="E250" s="51">
        <v>654000</v>
      </c>
      <c r="F250" s="120"/>
      <c r="G250" s="98" t="s">
        <v>1174</v>
      </c>
      <c r="H250" s="14"/>
      <c r="I250" s="58"/>
      <c r="J250" s="72"/>
    </row>
    <row r="251" spans="1:10" s="22" customFormat="1" ht="18.2" customHeight="1" x14ac:dyDescent="0.15">
      <c r="A251" s="316"/>
      <c r="B251" s="316"/>
      <c r="C251" s="12" t="s">
        <v>870</v>
      </c>
      <c r="D251" s="51">
        <v>600000</v>
      </c>
      <c r="E251" s="51">
        <v>468120</v>
      </c>
      <c r="F251" s="120"/>
      <c r="G251" s="98" t="s">
        <v>1175</v>
      </c>
      <c r="H251" s="14"/>
      <c r="I251" s="58"/>
      <c r="J251" s="72"/>
    </row>
    <row r="252" spans="1:10" s="22" customFormat="1" ht="18.2" customHeight="1" x14ac:dyDescent="0.15">
      <c r="A252" s="316"/>
      <c r="B252" s="316"/>
      <c r="C252" s="12" t="s">
        <v>871</v>
      </c>
      <c r="D252" s="51">
        <v>1100000</v>
      </c>
      <c r="E252" s="51"/>
      <c r="F252" s="120"/>
      <c r="G252" s="98"/>
      <c r="H252" s="14"/>
      <c r="I252" s="58"/>
      <c r="J252" s="72"/>
    </row>
    <row r="253" spans="1:10" s="22" customFormat="1" ht="18.2" customHeight="1" x14ac:dyDescent="0.15">
      <c r="A253" s="316"/>
      <c r="B253" s="316"/>
      <c r="C253" s="12" t="s">
        <v>896</v>
      </c>
      <c r="D253" s="51">
        <v>500000</v>
      </c>
      <c r="E253" s="51"/>
      <c r="F253" s="120"/>
      <c r="G253" s="98"/>
      <c r="H253" s="14"/>
      <c r="I253" s="58"/>
      <c r="J253" s="72"/>
    </row>
    <row r="254" spans="1:10" s="22" customFormat="1" ht="18.2" customHeight="1" x14ac:dyDescent="0.15">
      <c r="A254" s="316"/>
      <c r="B254" s="316"/>
      <c r="C254" s="12" t="s">
        <v>878</v>
      </c>
      <c r="D254" s="51">
        <v>600000</v>
      </c>
      <c r="E254" s="51"/>
      <c r="F254" s="120"/>
      <c r="G254" s="98"/>
      <c r="H254" s="14"/>
      <c r="I254" s="58"/>
      <c r="J254" s="72"/>
    </row>
    <row r="255" spans="1:10" s="22" customFormat="1" ht="18.2" customHeight="1" x14ac:dyDescent="0.15">
      <c r="A255" s="316"/>
      <c r="B255" s="316"/>
      <c r="C255" s="12" t="s">
        <v>879</v>
      </c>
      <c r="D255" s="51">
        <v>500000</v>
      </c>
      <c r="E255" s="51">
        <v>324000</v>
      </c>
      <c r="F255" s="120"/>
      <c r="G255" s="98" t="s">
        <v>905</v>
      </c>
      <c r="H255" s="14"/>
      <c r="I255" s="58"/>
      <c r="J255" s="72"/>
    </row>
    <row r="256" spans="1:10" s="22" customFormat="1" ht="18.2" customHeight="1" x14ac:dyDescent="0.15">
      <c r="A256" s="316"/>
      <c r="B256" s="316"/>
      <c r="C256" s="12" t="s">
        <v>880</v>
      </c>
      <c r="D256" s="51">
        <v>450000</v>
      </c>
      <c r="E256" s="51">
        <v>265090</v>
      </c>
      <c r="F256" s="120"/>
      <c r="G256" s="98" t="s">
        <v>1176</v>
      </c>
      <c r="H256" s="14"/>
      <c r="I256" s="58"/>
      <c r="J256" s="72"/>
    </row>
    <row r="257" spans="1:10" s="22" customFormat="1" ht="18.2" customHeight="1" x14ac:dyDescent="0.15">
      <c r="A257" s="316"/>
      <c r="B257" s="316"/>
      <c r="C257" s="12" t="s">
        <v>876</v>
      </c>
      <c r="D257" s="51">
        <v>4500000</v>
      </c>
      <c r="E257" s="51"/>
      <c r="F257" s="120"/>
      <c r="G257" s="98"/>
      <c r="H257" s="14"/>
      <c r="I257" s="58"/>
      <c r="J257" s="72"/>
    </row>
    <row r="258" spans="1:10" s="22" customFormat="1" ht="18.2" customHeight="1" x14ac:dyDescent="0.15">
      <c r="A258" s="316"/>
      <c r="B258" s="316"/>
      <c r="C258" s="12" t="s">
        <v>1348</v>
      </c>
      <c r="D258" s="51"/>
      <c r="E258" s="51">
        <v>396000</v>
      </c>
      <c r="F258" s="120"/>
      <c r="G258" s="387" t="s">
        <v>1177</v>
      </c>
      <c r="H258" s="14"/>
      <c r="I258" s="58"/>
      <c r="J258" s="74"/>
    </row>
    <row r="259" spans="1:10" s="22" customFormat="1" ht="18.2" customHeight="1" thickBot="1" x14ac:dyDescent="0.2">
      <c r="A259" s="316"/>
      <c r="B259" s="246"/>
      <c r="C259" s="12" t="s">
        <v>1419</v>
      </c>
      <c r="D259" s="51"/>
      <c r="E259" s="51">
        <v>50000</v>
      </c>
      <c r="F259" s="129"/>
      <c r="G259" s="387" t="s">
        <v>1178</v>
      </c>
      <c r="H259" s="14"/>
      <c r="I259" s="58"/>
      <c r="J259" s="74"/>
    </row>
    <row r="260" spans="1:10" s="22" customFormat="1" ht="18.2" customHeight="1" x14ac:dyDescent="0.15">
      <c r="A260" s="316"/>
      <c r="B260" s="145">
        <v>2015</v>
      </c>
      <c r="C260" s="332" t="s">
        <v>1276</v>
      </c>
      <c r="D260" s="343">
        <f>SUM(D261:D273)</f>
        <v>13990000</v>
      </c>
      <c r="E260" s="343">
        <f>SUM(E261:E273)</f>
        <v>7200400</v>
      </c>
      <c r="F260" s="166"/>
      <c r="G260" s="138"/>
      <c r="H260" s="139"/>
      <c r="I260" s="140"/>
      <c r="J260" s="181"/>
    </row>
    <row r="261" spans="1:10" s="22" customFormat="1" ht="18.2" customHeight="1" x14ac:dyDescent="0.15">
      <c r="A261" s="316"/>
      <c r="B261" s="316" t="s">
        <v>1420</v>
      </c>
      <c r="C261" s="12" t="s">
        <v>1421</v>
      </c>
      <c r="D261" s="51">
        <v>3200000</v>
      </c>
      <c r="E261" s="51">
        <v>2880000</v>
      </c>
      <c r="F261" s="120"/>
      <c r="G261" s="387" t="s">
        <v>1422</v>
      </c>
      <c r="H261" s="14"/>
      <c r="I261" s="58"/>
      <c r="J261" s="74"/>
    </row>
    <row r="262" spans="1:10" s="22" customFormat="1" ht="18.2" customHeight="1" x14ac:dyDescent="0.15">
      <c r="A262" s="316"/>
      <c r="B262" s="246" t="s">
        <v>1423</v>
      </c>
      <c r="C262" s="12" t="s">
        <v>1424</v>
      </c>
      <c r="D262" s="51">
        <v>1440000</v>
      </c>
      <c r="E262" s="347">
        <v>1200000</v>
      </c>
      <c r="F262" s="74"/>
      <c r="G262" s="387" t="s">
        <v>1425</v>
      </c>
      <c r="H262" s="14"/>
      <c r="I262" s="58"/>
      <c r="J262" s="74"/>
    </row>
    <row r="263" spans="1:10" s="22" customFormat="1" ht="18.2" customHeight="1" x14ac:dyDescent="0.15">
      <c r="A263" s="316"/>
      <c r="B263" s="147" t="s">
        <v>1369</v>
      </c>
      <c r="C263" s="12" t="s">
        <v>892</v>
      </c>
      <c r="D263" s="51">
        <v>1000000</v>
      </c>
      <c r="E263" s="51">
        <v>560000</v>
      </c>
      <c r="F263" s="74"/>
      <c r="G263" s="387" t="s">
        <v>1426</v>
      </c>
      <c r="H263" s="14"/>
      <c r="I263" s="58"/>
      <c r="J263" s="74"/>
    </row>
    <row r="264" spans="1:10" s="22" customFormat="1" ht="18.2" customHeight="1" x14ac:dyDescent="0.15">
      <c r="A264" s="316"/>
      <c r="B264" s="316" t="s">
        <v>1427</v>
      </c>
      <c r="C264" s="12" t="s">
        <v>864</v>
      </c>
      <c r="D264" s="51">
        <v>360000</v>
      </c>
      <c r="E264" s="51">
        <v>120000</v>
      </c>
      <c r="F264" s="74"/>
      <c r="G264" s="387" t="s">
        <v>1428</v>
      </c>
      <c r="H264" s="14"/>
      <c r="I264" s="58"/>
      <c r="J264" s="74"/>
    </row>
    <row r="265" spans="1:10" s="22" customFormat="1" ht="18.2" customHeight="1" x14ac:dyDescent="0.15">
      <c r="A265" s="316"/>
      <c r="B265" s="316" t="s">
        <v>1429</v>
      </c>
      <c r="C265" s="12" t="s">
        <v>865</v>
      </c>
      <c r="D265" s="51">
        <v>300000</v>
      </c>
      <c r="E265" s="51">
        <v>90000</v>
      </c>
      <c r="F265" s="74"/>
      <c r="G265" s="387" t="s">
        <v>1430</v>
      </c>
      <c r="H265" s="14"/>
      <c r="I265" s="58"/>
      <c r="J265" s="74"/>
    </row>
    <row r="266" spans="1:10" s="22" customFormat="1" ht="18.2" customHeight="1" x14ac:dyDescent="0.15">
      <c r="A266" s="316"/>
      <c r="B266" s="316"/>
      <c r="C266" s="12" t="s">
        <v>866</v>
      </c>
      <c r="D266" s="51">
        <v>1100000</v>
      </c>
      <c r="E266" s="51"/>
      <c r="F266" s="74"/>
      <c r="G266" s="79"/>
      <c r="H266" s="14"/>
      <c r="I266" s="58"/>
      <c r="J266" s="74"/>
    </row>
    <row r="267" spans="1:10" s="22" customFormat="1" ht="18.2" customHeight="1" x14ac:dyDescent="0.15">
      <c r="A267" s="316"/>
      <c r="B267" s="316"/>
      <c r="C267" s="12" t="s">
        <v>867</v>
      </c>
      <c r="D267" s="51">
        <v>1000000</v>
      </c>
      <c r="E267" s="51"/>
      <c r="F267" s="74"/>
      <c r="G267" s="387"/>
      <c r="H267" s="14"/>
      <c r="I267" s="58"/>
      <c r="J267" s="74"/>
    </row>
    <row r="268" spans="1:10" s="22" customFormat="1" ht="18.2" customHeight="1" x14ac:dyDescent="0.15">
      <c r="A268" s="316"/>
      <c r="B268" s="316"/>
      <c r="C268" s="12" t="s">
        <v>868</v>
      </c>
      <c r="D268" s="51">
        <v>840000</v>
      </c>
      <c r="E268" s="51">
        <v>453000</v>
      </c>
      <c r="F268" s="74"/>
      <c r="G268" s="387" t="s">
        <v>1431</v>
      </c>
      <c r="H268" s="14"/>
      <c r="I268" s="58"/>
      <c r="J268" s="74"/>
    </row>
    <row r="269" spans="1:10" s="22" customFormat="1" ht="18.2" customHeight="1" x14ac:dyDescent="0.15">
      <c r="A269" s="316"/>
      <c r="B269" s="316"/>
      <c r="C269" s="12" t="s">
        <v>870</v>
      </c>
      <c r="D269" s="51">
        <v>400000</v>
      </c>
      <c r="E269" s="51"/>
      <c r="F269" s="74"/>
      <c r="G269" s="387"/>
      <c r="H269" s="14"/>
      <c r="I269" s="58"/>
      <c r="J269" s="74"/>
    </row>
    <row r="270" spans="1:10" s="22" customFormat="1" ht="18.2" customHeight="1" x14ac:dyDescent="0.15">
      <c r="A270" s="316"/>
      <c r="B270" s="316"/>
      <c r="C270" s="12" t="s">
        <v>1432</v>
      </c>
      <c r="D270" s="51">
        <v>500000</v>
      </c>
      <c r="E270" s="51">
        <v>120000</v>
      </c>
      <c r="F270" s="74"/>
      <c r="G270" s="387" t="s">
        <v>1433</v>
      </c>
      <c r="H270" s="14"/>
      <c r="I270" s="58"/>
      <c r="J270" s="74"/>
    </row>
    <row r="271" spans="1:10" s="22" customFormat="1" ht="18.2" customHeight="1" x14ac:dyDescent="0.15">
      <c r="A271" s="316"/>
      <c r="B271" s="316"/>
      <c r="C271" s="12" t="s">
        <v>880</v>
      </c>
      <c r="D271" s="51">
        <v>450000</v>
      </c>
      <c r="E271" s="51">
        <v>181400</v>
      </c>
      <c r="F271" s="120"/>
      <c r="G271" s="387" t="s">
        <v>1434</v>
      </c>
      <c r="H271" s="19"/>
      <c r="I271" s="60"/>
      <c r="J271" s="74"/>
    </row>
    <row r="272" spans="1:10" s="22" customFormat="1" ht="18.2" customHeight="1" x14ac:dyDescent="0.15">
      <c r="A272" s="316"/>
      <c r="B272" s="316"/>
      <c r="C272" s="12" t="s">
        <v>879</v>
      </c>
      <c r="D272" s="51">
        <v>400000</v>
      </c>
      <c r="E272" s="51">
        <v>96000</v>
      </c>
      <c r="F272" s="74"/>
      <c r="G272" s="387" t="s">
        <v>1435</v>
      </c>
      <c r="H272" s="19"/>
      <c r="I272" s="60"/>
      <c r="J272" s="74"/>
    </row>
    <row r="273" spans="1:10" s="22" customFormat="1" ht="18.2" customHeight="1" thickBot="1" x14ac:dyDescent="0.2">
      <c r="A273" s="316"/>
      <c r="B273" s="316"/>
      <c r="C273" s="12" t="s">
        <v>876</v>
      </c>
      <c r="D273" s="51">
        <v>3000000</v>
      </c>
      <c r="E273" s="51">
        <v>1500000</v>
      </c>
      <c r="F273" s="74"/>
      <c r="G273" s="387" t="s">
        <v>1436</v>
      </c>
      <c r="H273" s="19"/>
      <c r="I273" s="60"/>
      <c r="J273" s="74"/>
    </row>
    <row r="274" spans="1:10" s="22" customFormat="1" ht="18.2" customHeight="1" thickBot="1" x14ac:dyDescent="0.2">
      <c r="A274" s="145" t="s">
        <v>1437</v>
      </c>
      <c r="B274" s="34"/>
      <c r="C274" s="309" t="s">
        <v>1378</v>
      </c>
      <c r="D274" s="253">
        <f>SUM(D275:D281)</f>
        <v>55365500</v>
      </c>
      <c r="E274" s="253">
        <f>SUM(E275:E281)</f>
        <v>44448386</v>
      </c>
      <c r="F274" s="158"/>
      <c r="G274" s="254"/>
      <c r="H274" s="36"/>
      <c r="I274" s="150"/>
      <c r="J274" s="349"/>
    </row>
    <row r="275" spans="1:10" s="22" customFormat="1" ht="18.2" customHeight="1" x14ac:dyDescent="0.15">
      <c r="A275" s="316"/>
      <c r="B275" s="316" t="s">
        <v>1438</v>
      </c>
      <c r="C275" s="6" t="s">
        <v>141</v>
      </c>
      <c r="D275" s="53">
        <v>18715500</v>
      </c>
      <c r="E275" s="53">
        <v>15810000</v>
      </c>
      <c r="F275" s="128"/>
      <c r="G275" s="8" t="s">
        <v>1179</v>
      </c>
      <c r="H275" s="9"/>
      <c r="I275" s="56"/>
      <c r="J275" s="72"/>
    </row>
    <row r="276" spans="1:10" s="22" customFormat="1" ht="18.2" customHeight="1" x14ac:dyDescent="0.15">
      <c r="A276" s="316"/>
      <c r="B276" s="246" t="s">
        <v>1439</v>
      </c>
      <c r="C276" s="12" t="s">
        <v>867</v>
      </c>
      <c r="D276" s="51">
        <v>15840000</v>
      </c>
      <c r="E276" s="347">
        <v>14008896</v>
      </c>
      <c r="F276" s="74"/>
      <c r="G276" s="387" t="s">
        <v>1180</v>
      </c>
      <c r="H276" s="14"/>
      <c r="I276" s="58"/>
      <c r="J276" s="74"/>
    </row>
    <row r="277" spans="1:10" s="22" customFormat="1" ht="18.2" customHeight="1" x14ac:dyDescent="0.15">
      <c r="A277" s="316"/>
      <c r="B277" s="316" t="s">
        <v>1440</v>
      </c>
      <c r="C277" s="12" t="s">
        <v>868</v>
      </c>
      <c r="D277" s="51">
        <v>10725000</v>
      </c>
      <c r="E277" s="51">
        <v>9081600</v>
      </c>
      <c r="F277" s="74"/>
      <c r="G277" s="387" t="s">
        <v>1181</v>
      </c>
      <c r="H277" s="14"/>
      <c r="I277" s="58"/>
      <c r="J277" s="74"/>
    </row>
    <row r="278" spans="1:10" s="22" customFormat="1" ht="18.2" customHeight="1" x14ac:dyDescent="0.15">
      <c r="A278" s="316"/>
      <c r="B278" s="316"/>
      <c r="C278" s="12" t="s">
        <v>907</v>
      </c>
      <c r="D278" s="51">
        <v>2145000</v>
      </c>
      <c r="E278" s="51">
        <v>2244000</v>
      </c>
      <c r="F278" s="74"/>
      <c r="G278" s="79" t="s">
        <v>1182</v>
      </c>
      <c r="H278" s="14"/>
      <c r="I278" s="58"/>
      <c r="J278" s="74"/>
    </row>
    <row r="279" spans="1:10" s="22" customFormat="1" ht="18.2" customHeight="1" x14ac:dyDescent="0.15">
      <c r="A279" s="316"/>
      <c r="B279" s="316"/>
      <c r="C279" s="12" t="s">
        <v>908</v>
      </c>
      <c r="D279" s="51">
        <v>2000000</v>
      </c>
      <c r="E279" s="51"/>
      <c r="F279" s="74"/>
      <c r="G279" s="79"/>
      <c r="H279" s="14"/>
      <c r="I279" s="58"/>
      <c r="J279" s="74"/>
    </row>
    <row r="280" spans="1:10" s="22" customFormat="1" ht="18.2" customHeight="1" x14ac:dyDescent="0.15">
      <c r="A280" s="316"/>
      <c r="B280" s="316"/>
      <c r="C280" s="12" t="s">
        <v>909</v>
      </c>
      <c r="D280" s="51">
        <v>5940000</v>
      </c>
      <c r="E280" s="51">
        <v>3160640</v>
      </c>
      <c r="F280" s="74"/>
      <c r="G280" s="79" t="s">
        <v>1183</v>
      </c>
      <c r="H280" s="14"/>
      <c r="I280" s="58"/>
      <c r="J280" s="74"/>
    </row>
    <row r="281" spans="1:10" s="22" customFormat="1" ht="18.2" customHeight="1" thickBot="1" x14ac:dyDescent="0.2">
      <c r="A281" s="316"/>
      <c r="B281" s="316"/>
      <c r="C281" s="316" t="s">
        <v>1441</v>
      </c>
      <c r="D281" s="26"/>
      <c r="E281" s="26">
        <v>143250</v>
      </c>
      <c r="F281" s="75"/>
      <c r="G281" s="10" t="s">
        <v>1442</v>
      </c>
      <c r="H281" s="11"/>
      <c r="I281" s="57"/>
      <c r="J281" s="385"/>
    </row>
    <row r="282" spans="1:10" s="22" customFormat="1" ht="18.2" customHeight="1" thickBot="1" x14ac:dyDescent="0.2">
      <c r="A282" s="145" t="s">
        <v>1443</v>
      </c>
      <c r="B282" s="34"/>
      <c r="C282" s="34" t="s">
        <v>1444</v>
      </c>
      <c r="D282" s="70">
        <f>D283+D297+D310+D316+D326+D331+D336+D342</f>
        <v>47858500</v>
      </c>
      <c r="E282" s="70">
        <f>E283+E297+E310+E316+E326+E331+E336+E342</f>
        <v>67941908</v>
      </c>
      <c r="F282" s="158"/>
      <c r="G282" s="254"/>
      <c r="H282" s="36"/>
      <c r="I282" s="150"/>
      <c r="J282" s="350"/>
    </row>
    <row r="283" spans="1:10" s="22" customFormat="1" ht="18.2" customHeight="1" x14ac:dyDescent="0.15">
      <c r="A283" s="316"/>
      <c r="B283" s="316" t="s">
        <v>1423</v>
      </c>
      <c r="C283" s="323" t="s">
        <v>1378</v>
      </c>
      <c r="D283" s="335">
        <f>SUM(D284:D296)</f>
        <v>23740000</v>
      </c>
      <c r="E283" s="335">
        <f>SUM(E284:E296)</f>
        <v>25860000</v>
      </c>
      <c r="F283" s="156"/>
      <c r="G283" s="94"/>
      <c r="H283" s="9"/>
      <c r="I283" s="56"/>
      <c r="J283" s="351"/>
    </row>
    <row r="284" spans="1:10" s="22" customFormat="1" ht="18.2" customHeight="1" x14ac:dyDescent="0.15">
      <c r="A284" s="316"/>
      <c r="B284" s="316" t="s">
        <v>1445</v>
      </c>
      <c r="C284" s="12" t="s">
        <v>867</v>
      </c>
      <c r="D284" s="51">
        <v>6000000</v>
      </c>
      <c r="E284" s="51">
        <v>6000000</v>
      </c>
      <c r="F284" s="120"/>
      <c r="G284" s="387" t="s">
        <v>1446</v>
      </c>
      <c r="H284" s="14"/>
      <c r="I284" s="58"/>
      <c r="J284" s="74"/>
    </row>
    <row r="285" spans="1:10" s="22" customFormat="1" ht="18.2" customHeight="1" x14ac:dyDescent="0.15">
      <c r="A285" s="316"/>
      <c r="B285" s="246" t="s">
        <v>1447</v>
      </c>
      <c r="C285" s="12" t="s">
        <v>910</v>
      </c>
      <c r="D285" s="51">
        <v>7200000</v>
      </c>
      <c r="E285" s="347">
        <v>7200000</v>
      </c>
      <c r="F285" s="74"/>
      <c r="G285" s="387" t="s">
        <v>1448</v>
      </c>
      <c r="H285" s="14"/>
      <c r="I285" s="58"/>
      <c r="J285" s="74"/>
    </row>
    <row r="286" spans="1:10" s="22" customFormat="1" ht="18.2" customHeight="1" x14ac:dyDescent="0.15">
      <c r="A286" s="316"/>
      <c r="B286" s="246" t="s">
        <v>1449</v>
      </c>
      <c r="C286" s="12" t="s">
        <v>870</v>
      </c>
      <c r="D286" s="51">
        <v>480000</v>
      </c>
      <c r="E286" s="51">
        <v>1200000</v>
      </c>
      <c r="F286" s="74"/>
      <c r="G286" s="387" t="s">
        <v>1450</v>
      </c>
      <c r="H286" s="14"/>
      <c r="I286" s="58"/>
      <c r="J286" s="74"/>
    </row>
    <row r="287" spans="1:10" s="22" customFormat="1" ht="18.2" customHeight="1" x14ac:dyDescent="0.15">
      <c r="A287" s="316"/>
      <c r="B287" s="316" t="s">
        <v>1407</v>
      </c>
      <c r="C287" s="12" t="s">
        <v>911</v>
      </c>
      <c r="D287" s="51">
        <v>800000</v>
      </c>
      <c r="E287" s="51">
        <v>800000</v>
      </c>
      <c r="F287" s="74"/>
      <c r="G287" s="79" t="s">
        <v>1451</v>
      </c>
      <c r="H287" s="14"/>
      <c r="I287" s="58"/>
      <c r="J287" s="74"/>
    </row>
    <row r="288" spans="1:10" s="22" customFormat="1" ht="18.2" customHeight="1" x14ac:dyDescent="0.15">
      <c r="A288" s="316"/>
      <c r="B288" s="316" t="s">
        <v>1452</v>
      </c>
      <c r="C288" s="12" t="s">
        <v>912</v>
      </c>
      <c r="D288" s="51">
        <v>360000</v>
      </c>
      <c r="E288" s="51">
        <v>360000</v>
      </c>
      <c r="F288" s="74"/>
      <c r="G288" s="79" t="s">
        <v>1453</v>
      </c>
      <c r="H288" s="14"/>
      <c r="I288" s="58"/>
      <c r="J288" s="74"/>
    </row>
    <row r="289" spans="1:10" s="22" customFormat="1" ht="18.2" customHeight="1" x14ac:dyDescent="0.15">
      <c r="A289" s="316"/>
      <c r="B289" s="316" t="s">
        <v>1454</v>
      </c>
      <c r="C289" s="12" t="s">
        <v>913</v>
      </c>
      <c r="D289" s="51">
        <v>400000</v>
      </c>
      <c r="E289" s="51">
        <v>400000</v>
      </c>
      <c r="F289" s="74"/>
      <c r="G289" s="387" t="s">
        <v>1455</v>
      </c>
      <c r="H289" s="14"/>
      <c r="I289" s="58"/>
      <c r="J289" s="352"/>
    </row>
    <row r="290" spans="1:10" s="22" customFormat="1" ht="18.2" customHeight="1" x14ac:dyDescent="0.15">
      <c r="A290" s="316"/>
      <c r="B290" s="316"/>
      <c r="C290" s="12" t="s">
        <v>914</v>
      </c>
      <c r="D290" s="51">
        <v>3300000</v>
      </c>
      <c r="E290" s="51">
        <v>3000000</v>
      </c>
      <c r="F290" s="74"/>
      <c r="G290" s="387" t="s">
        <v>1456</v>
      </c>
      <c r="H290" s="14"/>
      <c r="I290" s="58"/>
      <c r="J290" s="74"/>
    </row>
    <row r="291" spans="1:10" s="22" customFormat="1" ht="18.2" customHeight="1" x14ac:dyDescent="0.15">
      <c r="A291" s="316"/>
      <c r="B291" s="316"/>
      <c r="C291" s="12" t="s">
        <v>1457</v>
      </c>
      <c r="D291" s="51">
        <v>1800000</v>
      </c>
      <c r="E291" s="51">
        <v>1800000</v>
      </c>
      <c r="F291" s="74"/>
      <c r="G291" s="387" t="s">
        <v>1458</v>
      </c>
      <c r="H291" s="14"/>
      <c r="I291" s="58"/>
      <c r="J291" s="74"/>
    </row>
    <row r="292" spans="1:10" s="22" customFormat="1" ht="18.2" customHeight="1" x14ac:dyDescent="0.15">
      <c r="A292" s="316"/>
      <c r="B292" s="316"/>
      <c r="C292" s="12" t="s">
        <v>875</v>
      </c>
      <c r="D292" s="51">
        <v>400000</v>
      </c>
      <c r="E292" s="51">
        <v>400000</v>
      </c>
      <c r="F292" s="74"/>
      <c r="G292" s="387" t="s">
        <v>1459</v>
      </c>
      <c r="H292" s="14"/>
      <c r="I292" s="58"/>
      <c r="J292" s="74"/>
    </row>
    <row r="293" spans="1:10" s="22" customFormat="1" ht="18.2" customHeight="1" x14ac:dyDescent="0.15">
      <c r="A293" s="316"/>
      <c r="B293" s="316"/>
      <c r="C293" s="12" t="s">
        <v>915</v>
      </c>
      <c r="D293" s="51">
        <v>900000</v>
      </c>
      <c r="E293" s="51">
        <v>1700000</v>
      </c>
      <c r="F293" s="74"/>
      <c r="G293" s="79" t="s">
        <v>1460</v>
      </c>
      <c r="H293" s="14"/>
      <c r="I293" s="58"/>
      <c r="J293" s="74"/>
    </row>
    <row r="294" spans="1:10" s="22" customFormat="1" ht="18.2" customHeight="1" x14ac:dyDescent="0.15">
      <c r="A294" s="316"/>
      <c r="B294" s="316"/>
      <c r="C294" s="12" t="s">
        <v>916</v>
      </c>
      <c r="D294" s="51">
        <v>600000</v>
      </c>
      <c r="E294" s="51">
        <v>600000</v>
      </c>
      <c r="F294" s="74"/>
      <c r="G294" s="79" t="s">
        <v>1461</v>
      </c>
      <c r="H294" s="14"/>
      <c r="I294" s="58"/>
      <c r="J294" s="74"/>
    </row>
    <row r="295" spans="1:10" s="22" customFormat="1" ht="18.2" customHeight="1" x14ac:dyDescent="0.15">
      <c r="A295" s="316"/>
      <c r="B295" s="316"/>
      <c r="C295" s="315" t="s">
        <v>917</v>
      </c>
      <c r="D295" s="69">
        <v>1500000</v>
      </c>
      <c r="E295" s="69">
        <v>1500000</v>
      </c>
      <c r="F295" s="73"/>
      <c r="G295" s="32" t="s">
        <v>1462</v>
      </c>
      <c r="H295" s="16"/>
      <c r="I295" s="59"/>
      <c r="J295" s="73"/>
    </row>
    <row r="296" spans="1:10" s="22" customFormat="1" ht="18.2" customHeight="1" thickBot="1" x14ac:dyDescent="0.2">
      <c r="A296" s="316"/>
      <c r="B296" s="316"/>
      <c r="C296" s="124" t="s">
        <v>1403</v>
      </c>
      <c r="D296" s="141"/>
      <c r="E296" s="141">
        <v>900000</v>
      </c>
      <c r="F296" s="163"/>
      <c r="G296" s="354" t="s">
        <v>1463</v>
      </c>
      <c r="H296" s="143"/>
      <c r="I296" s="144"/>
      <c r="J296" s="163"/>
    </row>
    <row r="297" spans="1:10" s="22" customFormat="1" ht="18.2" customHeight="1" x14ac:dyDescent="0.15">
      <c r="A297" s="316"/>
      <c r="B297" s="145" t="s">
        <v>1464</v>
      </c>
      <c r="C297" s="332" t="s">
        <v>1276</v>
      </c>
      <c r="D297" s="343">
        <f>SUM(D298:D309)</f>
        <v>15420000</v>
      </c>
      <c r="E297" s="343">
        <f>SUM(E298:E309)</f>
        <v>15278893</v>
      </c>
      <c r="F297" s="137"/>
      <c r="G297" s="353"/>
      <c r="H297" s="139"/>
      <c r="I297" s="140"/>
      <c r="J297" s="137"/>
    </row>
    <row r="298" spans="1:10" s="22" customFormat="1" ht="18.2" customHeight="1" x14ac:dyDescent="0.15">
      <c r="A298" s="316"/>
      <c r="B298" s="316" t="s">
        <v>1445</v>
      </c>
      <c r="C298" s="12" t="s">
        <v>141</v>
      </c>
      <c r="D298" s="51">
        <v>10000000</v>
      </c>
      <c r="E298" s="51">
        <v>8540000</v>
      </c>
      <c r="F298" s="120"/>
      <c r="G298" s="387" t="s">
        <v>1465</v>
      </c>
      <c r="H298" s="14"/>
      <c r="I298" s="58"/>
      <c r="J298" s="74"/>
    </row>
    <row r="299" spans="1:10" s="22" customFormat="1" ht="18.2" customHeight="1" x14ac:dyDescent="0.15">
      <c r="A299" s="316"/>
      <c r="B299" s="246" t="s">
        <v>1447</v>
      </c>
      <c r="C299" s="12" t="s">
        <v>870</v>
      </c>
      <c r="D299" s="51">
        <v>600000</v>
      </c>
      <c r="E299" s="51">
        <v>1200000</v>
      </c>
      <c r="F299" s="74"/>
      <c r="G299" s="387" t="s">
        <v>1466</v>
      </c>
      <c r="H299" s="14"/>
      <c r="I299" s="58"/>
      <c r="J299" s="74"/>
    </row>
    <row r="300" spans="1:10" s="22" customFormat="1" ht="18.2" customHeight="1" x14ac:dyDescent="0.15">
      <c r="A300" s="316"/>
      <c r="B300" s="246" t="s">
        <v>1449</v>
      </c>
      <c r="C300" s="12" t="s">
        <v>918</v>
      </c>
      <c r="D300" s="51">
        <v>900000</v>
      </c>
      <c r="E300" s="51">
        <v>900000</v>
      </c>
      <c r="F300" s="74"/>
      <c r="G300" s="387" t="s">
        <v>1467</v>
      </c>
      <c r="H300" s="14"/>
      <c r="I300" s="58"/>
      <c r="J300" s="74"/>
    </row>
    <row r="301" spans="1:10" s="22" customFormat="1" ht="18.2" customHeight="1" x14ac:dyDescent="0.15">
      <c r="A301" s="316"/>
      <c r="B301" s="316" t="s">
        <v>1407</v>
      </c>
      <c r="C301" s="12" t="s">
        <v>919</v>
      </c>
      <c r="D301" s="51">
        <v>1080000</v>
      </c>
      <c r="E301" s="51">
        <v>1080000</v>
      </c>
      <c r="F301" s="74"/>
      <c r="G301" s="387" t="s">
        <v>1468</v>
      </c>
      <c r="H301" s="14"/>
      <c r="I301" s="58"/>
      <c r="J301" s="74"/>
    </row>
    <row r="302" spans="1:10" s="22" customFormat="1" ht="18.2" customHeight="1" x14ac:dyDescent="0.15">
      <c r="A302" s="316"/>
      <c r="B302" s="316" t="s">
        <v>1452</v>
      </c>
      <c r="C302" s="12" t="s">
        <v>920</v>
      </c>
      <c r="D302" s="51">
        <v>2000000</v>
      </c>
      <c r="E302" s="51">
        <v>2000000</v>
      </c>
      <c r="F302" s="74"/>
      <c r="G302" s="387" t="s">
        <v>1469</v>
      </c>
      <c r="H302" s="14"/>
      <c r="I302" s="58"/>
      <c r="J302" s="74"/>
    </row>
    <row r="303" spans="1:10" s="22" customFormat="1" ht="18.2" customHeight="1" x14ac:dyDescent="0.15">
      <c r="A303" s="316"/>
      <c r="B303" s="316" t="s">
        <v>1470</v>
      </c>
      <c r="C303" s="12" t="s">
        <v>921</v>
      </c>
      <c r="D303" s="51">
        <v>100000</v>
      </c>
      <c r="E303" s="51">
        <v>200000</v>
      </c>
      <c r="F303" s="120"/>
      <c r="G303" s="387" t="s">
        <v>1471</v>
      </c>
      <c r="H303" s="14"/>
      <c r="I303" s="58"/>
      <c r="J303" s="74"/>
    </row>
    <row r="304" spans="1:10" s="22" customFormat="1" ht="18.2" customHeight="1" x14ac:dyDescent="0.15">
      <c r="A304" s="316"/>
      <c r="B304" s="316"/>
      <c r="C304" s="12" t="s">
        <v>922</v>
      </c>
      <c r="D304" s="51">
        <v>200000</v>
      </c>
      <c r="E304" s="51"/>
      <c r="F304" s="74"/>
      <c r="G304" s="387"/>
      <c r="H304" s="14"/>
      <c r="I304" s="58"/>
      <c r="J304" s="348"/>
    </row>
    <row r="305" spans="1:10" s="22" customFormat="1" ht="18.2" customHeight="1" x14ac:dyDescent="0.15">
      <c r="A305" s="316"/>
      <c r="B305" s="316"/>
      <c r="C305" s="12" t="s">
        <v>1472</v>
      </c>
      <c r="D305" s="51">
        <v>140000</v>
      </c>
      <c r="E305" s="51">
        <v>200000</v>
      </c>
      <c r="F305" s="74"/>
      <c r="G305" s="387" t="s">
        <v>1471</v>
      </c>
      <c r="H305" s="14"/>
      <c r="I305" s="58"/>
      <c r="J305" s="74"/>
    </row>
    <row r="306" spans="1:10" s="22" customFormat="1" ht="18.2" customHeight="1" x14ac:dyDescent="0.15">
      <c r="A306" s="316"/>
      <c r="B306" s="316"/>
      <c r="C306" s="12" t="s">
        <v>1359</v>
      </c>
      <c r="D306" s="51">
        <v>200000</v>
      </c>
      <c r="E306" s="51">
        <v>200000</v>
      </c>
      <c r="F306" s="120"/>
      <c r="G306" s="387" t="s">
        <v>1473</v>
      </c>
      <c r="H306" s="19"/>
      <c r="I306" s="60"/>
      <c r="J306" s="74"/>
    </row>
    <row r="307" spans="1:10" s="22" customFormat="1" ht="18.2" customHeight="1" x14ac:dyDescent="0.15">
      <c r="A307" s="316"/>
      <c r="B307" s="316"/>
      <c r="C307" s="12" t="s">
        <v>923</v>
      </c>
      <c r="D307" s="51">
        <v>200000</v>
      </c>
      <c r="E307" s="51">
        <v>300000</v>
      </c>
      <c r="F307" s="74"/>
      <c r="G307" s="387" t="s">
        <v>1184</v>
      </c>
      <c r="H307" s="19"/>
      <c r="I307" s="60"/>
      <c r="J307" s="74"/>
    </row>
    <row r="308" spans="1:10" s="22" customFormat="1" ht="18.2" customHeight="1" x14ac:dyDescent="0.15">
      <c r="A308" s="316"/>
      <c r="B308" s="316"/>
      <c r="C308" s="12" t="s">
        <v>1474</v>
      </c>
      <c r="D308" s="51"/>
      <c r="E308" s="51">
        <v>440000</v>
      </c>
      <c r="F308" s="74"/>
      <c r="G308" s="387" t="s">
        <v>1185</v>
      </c>
      <c r="H308" s="19"/>
      <c r="I308" s="60"/>
      <c r="J308" s="74"/>
    </row>
    <row r="309" spans="1:10" s="22" customFormat="1" ht="18.2" customHeight="1" thickBot="1" x14ac:dyDescent="0.2">
      <c r="A309" s="316"/>
      <c r="B309" s="317"/>
      <c r="C309" s="124" t="s">
        <v>1475</v>
      </c>
      <c r="D309" s="141"/>
      <c r="E309" s="141">
        <v>218893</v>
      </c>
      <c r="F309" s="163"/>
      <c r="G309" s="142" t="s">
        <v>1186</v>
      </c>
      <c r="H309" s="160"/>
      <c r="I309" s="337"/>
      <c r="J309" s="163"/>
    </row>
    <row r="310" spans="1:10" s="22" customFormat="1" ht="18.2" customHeight="1" x14ac:dyDescent="0.15">
      <c r="A310" s="316"/>
      <c r="B310" s="316" t="s">
        <v>1476</v>
      </c>
      <c r="C310" s="332" t="s">
        <v>1276</v>
      </c>
      <c r="D310" s="343">
        <f>SUM(D311:D315)</f>
        <v>4363100</v>
      </c>
      <c r="E310" s="343">
        <f>SUM(E311:E315)</f>
        <v>3721900</v>
      </c>
      <c r="F310" s="159"/>
      <c r="G310" s="176"/>
      <c r="H310" s="178"/>
      <c r="I310" s="179"/>
      <c r="J310" s="137"/>
    </row>
    <row r="311" spans="1:10" s="22" customFormat="1" ht="18.2" customHeight="1" x14ac:dyDescent="0.15">
      <c r="A311" s="316"/>
      <c r="B311" s="316" t="s">
        <v>1477</v>
      </c>
      <c r="C311" s="12" t="s">
        <v>141</v>
      </c>
      <c r="D311" s="51">
        <v>2341600</v>
      </c>
      <c r="E311" s="51">
        <v>2000400</v>
      </c>
      <c r="F311" s="74"/>
      <c r="G311" s="387" t="s">
        <v>1187</v>
      </c>
      <c r="H311" s="14"/>
      <c r="I311" s="58"/>
      <c r="J311" s="74"/>
    </row>
    <row r="312" spans="1:10" s="22" customFormat="1" ht="18.2" customHeight="1" x14ac:dyDescent="0.15">
      <c r="A312" s="316"/>
      <c r="B312" s="316"/>
      <c r="C312" s="12" t="s">
        <v>867</v>
      </c>
      <c r="D312" s="51">
        <v>880000</v>
      </c>
      <c r="E312" s="51">
        <v>880000</v>
      </c>
      <c r="F312" s="74"/>
      <c r="G312" s="387" t="s">
        <v>1478</v>
      </c>
      <c r="H312" s="14"/>
      <c r="I312" s="58"/>
      <c r="J312" s="74"/>
    </row>
    <row r="313" spans="1:10" s="22" customFormat="1" ht="18.2" customHeight="1" x14ac:dyDescent="0.15">
      <c r="A313" s="316"/>
      <c r="B313" s="316"/>
      <c r="C313" s="12" t="s">
        <v>868</v>
      </c>
      <c r="D313" s="51">
        <v>584100</v>
      </c>
      <c r="E313" s="51">
        <v>584100</v>
      </c>
      <c r="F313" s="74"/>
      <c r="G313" s="387" t="s">
        <v>1479</v>
      </c>
      <c r="H313" s="14"/>
      <c r="I313" s="58"/>
      <c r="J313" s="74"/>
    </row>
    <row r="314" spans="1:10" s="22" customFormat="1" ht="18.2" customHeight="1" x14ac:dyDescent="0.15">
      <c r="A314" s="316"/>
      <c r="B314" s="316"/>
      <c r="C314" s="12" t="s">
        <v>907</v>
      </c>
      <c r="D314" s="51">
        <v>257400</v>
      </c>
      <c r="E314" s="51">
        <v>257400</v>
      </c>
      <c r="F314" s="120"/>
      <c r="G314" s="387" t="s">
        <v>1480</v>
      </c>
      <c r="H314" s="19"/>
      <c r="I314" s="60"/>
      <c r="J314" s="74"/>
    </row>
    <row r="315" spans="1:10" s="22" customFormat="1" ht="18.2" customHeight="1" thickBot="1" x14ac:dyDescent="0.2">
      <c r="A315" s="316"/>
      <c r="B315" s="316"/>
      <c r="C315" s="12" t="s">
        <v>924</v>
      </c>
      <c r="D315" s="51">
        <v>300000</v>
      </c>
      <c r="E315" s="51"/>
      <c r="F315" s="74"/>
      <c r="G315" s="387"/>
      <c r="H315" s="19"/>
      <c r="I315" s="60"/>
      <c r="J315" s="74"/>
    </row>
    <row r="316" spans="1:10" s="22" customFormat="1" ht="18.2" customHeight="1" x14ac:dyDescent="0.15">
      <c r="A316" s="316"/>
      <c r="B316" s="145" t="s">
        <v>1481</v>
      </c>
      <c r="C316" s="332" t="s">
        <v>1276</v>
      </c>
      <c r="D316" s="343">
        <f>SUM(D317:D325)</f>
        <v>4335400</v>
      </c>
      <c r="E316" s="343">
        <f>SUM(E317:E325)</f>
        <v>8050784</v>
      </c>
      <c r="F316" s="166"/>
      <c r="G316" s="138"/>
      <c r="H316" s="139"/>
      <c r="I316" s="140"/>
      <c r="J316" s="181"/>
    </row>
    <row r="317" spans="1:10" s="22" customFormat="1" ht="18.2" customHeight="1" x14ac:dyDescent="0.15">
      <c r="A317" s="316"/>
      <c r="B317" s="316" t="s">
        <v>1482</v>
      </c>
      <c r="C317" s="12" t="s">
        <v>141</v>
      </c>
      <c r="D317" s="51">
        <v>2495400</v>
      </c>
      <c r="E317" s="51">
        <v>1989400</v>
      </c>
      <c r="F317" s="120"/>
      <c r="G317" s="387" t="s">
        <v>1483</v>
      </c>
      <c r="H317" s="14"/>
      <c r="I317" s="58"/>
      <c r="J317" s="74"/>
    </row>
    <row r="318" spans="1:10" s="22" customFormat="1" ht="18.2" customHeight="1" x14ac:dyDescent="0.15">
      <c r="A318" s="316"/>
      <c r="B318" s="246" t="s">
        <v>1484</v>
      </c>
      <c r="C318" s="12" t="s">
        <v>867</v>
      </c>
      <c r="D318" s="51">
        <v>847000</v>
      </c>
      <c r="E318" s="347">
        <v>1069200</v>
      </c>
      <c r="F318" s="74"/>
      <c r="G318" s="387" t="s">
        <v>1485</v>
      </c>
      <c r="H318" s="14"/>
      <c r="I318" s="58"/>
      <c r="J318" s="74"/>
    </row>
    <row r="319" spans="1:10" s="22" customFormat="1" ht="18.2" customHeight="1" x14ac:dyDescent="0.15">
      <c r="A319" s="316"/>
      <c r="B319" s="246" t="s">
        <v>1486</v>
      </c>
      <c r="C319" s="12" t="s">
        <v>868</v>
      </c>
      <c r="D319" s="51">
        <v>407000</v>
      </c>
      <c r="E319" s="347">
        <v>513104</v>
      </c>
      <c r="F319" s="74"/>
      <c r="G319" s="387" t="s">
        <v>1487</v>
      </c>
      <c r="H319" s="14"/>
      <c r="I319" s="58"/>
      <c r="J319" s="74"/>
    </row>
    <row r="320" spans="1:10" s="22" customFormat="1" ht="18.2" customHeight="1" x14ac:dyDescent="0.15">
      <c r="A320" s="316"/>
      <c r="B320" s="246" t="s">
        <v>1488</v>
      </c>
      <c r="C320" s="12" t="s">
        <v>907</v>
      </c>
      <c r="D320" s="51">
        <v>286000</v>
      </c>
      <c r="E320" s="347">
        <v>360558</v>
      </c>
      <c r="F320" s="74"/>
      <c r="G320" s="387" t="s">
        <v>1489</v>
      </c>
      <c r="H320" s="14"/>
      <c r="I320" s="58"/>
      <c r="J320" s="74"/>
    </row>
    <row r="321" spans="1:10" s="22" customFormat="1" ht="18.2" customHeight="1" x14ac:dyDescent="0.15">
      <c r="A321" s="316"/>
      <c r="B321" s="246"/>
      <c r="C321" s="12" t="s">
        <v>924</v>
      </c>
      <c r="D321" s="51">
        <v>300000</v>
      </c>
      <c r="E321" s="347">
        <v>1145022</v>
      </c>
      <c r="F321" s="74"/>
      <c r="G321" s="387" t="s">
        <v>1188</v>
      </c>
      <c r="H321" s="14"/>
      <c r="I321" s="58"/>
      <c r="J321" s="74"/>
    </row>
    <row r="322" spans="1:10" s="22" customFormat="1" ht="18.2" customHeight="1" x14ac:dyDescent="0.15">
      <c r="A322" s="316"/>
      <c r="B322" s="246"/>
      <c r="C322" s="12" t="s">
        <v>1490</v>
      </c>
      <c r="D322" s="51"/>
      <c r="E322" s="347">
        <v>1120000</v>
      </c>
      <c r="F322" s="74"/>
      <c r="G322" s="387" t="s">
        <v>1491</v>
      </c>
      <c r="H322" s="14"/>
      <c r="I322" s="58"/>
      <c r="J322" s="74"/>
    </row>
    <row r="323" spans="1:10" s="22" customFormat="1" ht="18.2" customHeight="1" x14ac:dyDescent="0.15">
      <c r="A323" s="316"/>
      <c r="B323" s="246"/>
      <c r="C323" s="12" t="s">
        <v>1492</v>
      </c>
      <c r="D323" s="51"/>
      <c r="E323" s="347">
        <v>1100000</v>
      </c>
      <c r="F323" s="74"/>
      <c r="G323" s="387" t="s">
        <v>1189</v>
      </c>
      <c r="H323" s="14"/>
      <c r="I323" s="58"/>
      <c r="J323" s="74"/>
    </row>
    <row r="324" spans="1:10" s="22" customFormat="1" ht="18.2" customHeight="1" x14ac:dyDescent="0.15">
      <c r="A324" s="316"/>
      <c r="B324" s="246"/>
      <c r="C324" s="12" t="s">
        <v>1493</v>
      </c>
      <c r="D324" s="51"/>
      <c r="E324" s="347">
        <v>110000</v>
      </c>
      <c r="F324" s="74"/>
      <c r="G324" s="387" t="s">
        <v>1190</v>
      </c>
      <c r="H324" s="14"/>
      <c r="I324" s="58"/>
      <c r="J324" s="74"/>
    </row>
    <row r="325" spans="1:10" s="22" customFormat="1" ht="18.2" customHeight="1" thickBot="1" x14ac:dyDescent="0.2">
      <c r="A325" s="316"/>
      <c r="B325" s="317"/>
      <c r="C325" s="124" t="s">
        <v>1494</v>
      </c>
      <c r="D325" s="141"/>
      <c r="E325" s="141">
        <v>643500</v>
      </c>
      <c r="F325" s="163"/>
      <c r="G325" s="354" t="s">
        <v>1185</v>
      </c>
      <c r="H325" s="143"/>
      <c r="I325" s="144"/>
      <c r="J325" s="163"/>
    </row>
    <row r="326" spans="1:10" s="22" customFormat="1" ht="18.2" customHeight="1" x14ac:dyDescent="0.15">
      <c r="A326" s="316"/>
      <c r="B326" s="145" t="s">
        <v>1438</v>
      </c>
      <c r="C326" s="332" t="s">
        <v>1378</v>
      </c>
      <c r="D326" s="343">
        <f>SUM(D327:D330)</f>
        <v>0</v>
      </c>
      <c r="E326" s="343">
        <f>SUM(E327:E330)</f>
        <v>1426955</v>
      </c>
      <c r="F326" s="137"/>
      <c r="G326" s="353"/>
      <c r="H326" s="139"/>
      <c r="I326" s="140"/>
      <c r="J326" s="137"/>
    </row>
    <row r="327" spans="1:10" s="22" customFormat="1" ht="18.2" customHeight="1" x14ac:dyDescent="0.15">
      <c r="A327" s="316"/>
      <c r="B327" s="316" t="s">
        <v>1495</v>
      </c>
      <c r="C327" s="12" t="s">
        <v>141</v>
      </c>
      <c r="D327" s="51"/>
      <c r="E327" s="51">
        <v>994700</v>
      </c>
      <c r="F327" s="74"/>
      <c r="G327" s="79" t="s">
        <v>1496</v>
      </c>
      <c r="H327" s="14"/>
      <c r="I327" s="58"/>
      <c r="J327" s="74"/>
    </row>
    <row r="328" spans="1:10" s="22" customFormat="1" ht="18.2" customHeight="1" x14ac:dyDescent="0.15">
      <c r="A328" s="316"/>
      <c r="B328" s="246" t="s">
        <v>1497</v>
      </c>
      <c r="C328" s="12" t="s">
        <v>867</v>
      </c>
      <c r="D328" s="51"/>
      <c r="E328" s="51">
        <v>213840</v>
      </c>
      <c r="F328" s="74"/>
      <c r="G328" s="79" t="s">
        <v>1498</v>
      </c>
      <c r="H328" s="14"/>
      <c r="I328" s="58"/>
      <c r="J328" s="74"/>
    </row>
    <row r="329" spans="1:10" s="22" customFormat="1" ht="18.2" customHeight="1" x14ac:dyDescent="0.15">
      <c r="A329" s="316"/>
      <c r="B329" s="246" t="s">
        <v>1499</v>
      </c>
      <c r="C329" s="12" t="s">
        <v>868</v>
      </c>
      <c r="D329" s="51"/>
      <c r="E329" s="51">
        <v>128276</v>
      </c>
      <c r="F329" s="74"/>
      <c r="G329" s="387" t="s">
        <v>1500</v>
      </c>
      <c r="H329" s="14"/>
      <c r="I329" s="58"/>
      <c r="J329" s="74"/>
    </row>
    <row r="330" spans="1:10" s="22" customFormat="1" ht="18.2" customHeight="1" thickBot="1" x14ac:dyDescent="0.2">
      <c r="A330" s="316"/>
      <c r="B330" s="246" t="s">
        <v>1501</v>
      </c>
      <c r="C330" s="124" t="s">
        <v>907</v>
      </c>
      <c r="D330" s="141"/>
      <c r="E330" s="141">
        <v>90139</v>
      </c>
      <c r="F330" s="163"/>
      <c r="G330" s="142" t="s">
        <v>1502</v>
      </c>
      <c r="H330" s="143"/>
      <c r="I330" s="144"/>
      <c r="J330" s="163"/>
    </row>
    <row r="331" spans="1:10" s="22" customFormat="1" ht="18.2" customHeight="1" x14ac:dyDescent="0.15">
      <c r="A331" s="316"/>
      <c r="B331" s="145" t="s">
        <v>1503</v>
      </c>
      <c r="C331" s="332" t="s">
        <v>1378</v>
      </c>
      <c r="D331" s="343">
        <f>SUM(D332:D335)</f>
        <v>0</v>
      </c>
      <c r="E331" s="343">
        <f>SUM(E332:E335)</f>
        <v>3915242</v>
      </c>
      <c r="F331" s="137"/>
      <c r="G331" s="353"/>
      <c r="H331" s="139"/>
      <c r="I331" s="140"/>
      <c r="J331" s="137"/>
    </row>
    <row r="332" spans="1:10" s="22" customFormat="1" ht="18.2" customHeight="1" x14ac:dyDescent="0.15">
      <c r="A332" s="316"/>
      <c r="B332" s="316" t="s">
        <v>1504</v>
      </c>
      <c r="C332" s="12" t="s">
        <v>1505</v>
      </c>
      <c r="D332" s="51"/>
      <c r="E332" s="51">
        <v>2000400</v>
      </c>
      <c r="F332" s="74"/>
      <c r="G332" s="79" t="s">
        <v>1187</v>
      </c>
      <c r="H332" s="14"/>
      <c r="I332" s="58"/>
      <c r="J332" s="74"/>
    </row>
    <row r="333" spans="1:10" s="22" customFormat="1" ht="18.2" customHeight="1" x14ac:dyDescent="0.15">
      <c r="A333" s="316"/>
      <c r="B333" s="316" t="s">
        <v>1506</v>
      </c>
      <c r="C333" s="12" t="s">
        <v>1507</v>
      </c>
      <c r="D333" s="51"/>
      <c r="E333" s="51">
        <v>1139255</v>
      </c>
      <c r="F333" s="74"/>
      <c r="G333" s="387" t="s">
        <v>1508</v>
      </c>
      <c r="H333" s="14"/>
      <c r="I333" s="58"/>
      <c r="J333" s="74"/>
    </row>
    <row r="334" spans="1:10" s="22" customFormat="1" ht="18.2" customHeight="1" x14ac:dyDescent="0.15">
      <c r="A334" s="316"/>
      <c r="B334" s="386" t="s">
        <v>1509</v>
      </c>
      <c r="C334" s="12" t="s">
        <v>1510</v>
      </c>
      <c r="D334" s="51"/>
      <c r="E334" s="51">
        <v>506717</v>
      </c>
      <c r="F334" s="74"/>
      <c r="G334" s="79" t="s">
        <v>1511</v>
      </c>
      <c r="H334" s="14"/>
      <c r="I334" s="58"/>
      <c r="J334" s="74"/>
    </row>
    <row r="335" spans="1:10" s="22" customFormat="1" ht="18.2" customHeight="1" thickBot="1" x14ac:dyDescent="0.2">
      <c r="A335" s="316"/>
      <c r="B335" s="317"/>
      <c r="C335" s="124" t="s">
        <v>1512</v>
      </c>
      <c r="D335" s="141"/>
      <c r="E335" s="141">
        <v>268870</v>
      </c>
      <c r="F335" s="163"/>
      <c r="G335" s="354" t="s">
        <v>1513</v>
      </c>
      <c r="H335" s="143"/>
      <c r="I335" s="144"/>
      <c r="J335" s="163"/>
    </row>
    <row r="336" spans="1:10" s="22" customFormat="1" ht="18.2" customHeight="1" x14ac:dyDescent="0.15">
      <c r="A336" s="316"/>
      <c r="B336" s="145" t="s">
        <v>1514</v>
      </c>
      <c r="C336" s="323" t="s">
        <v>1276</v>
      </c>
      <c r="D336" s="335">
        <f>SUM(D337:D341)</f>
        <v>0</v>
      </c>
      <c r="E336" s="335">
        <f>SUM(E337:E341)</f>
        <v>4364010</v>
      </c>
      <c r="F336" s="72"/>
      <c r="G336" s="25"/>
      <c r="H336" s="9"/>
      <c r="I336" s="56"/>
      <c r="J336" s="72"/>
    </row>
    <row r="337" spans="1:10" s="22" customFormat="1" ht="18.2" customHeight="1" x14ac:dyDescent="0.15">
      <c r="A337" s="316"/>
      <c r="B337" s="316" t="s">
        <v>1397</v>
      </c>
      <c r="C337" s="12" t="s">
        <v>141</v>
      </c>
      <c r="D337" s="51"/>
      <c r="E337" s="51">
        <v>3500600</v>
      </c>
      <c r="F337" s="74"/>
      <c r="G337" s="79" t="s">
        <v>1191</v>
      </c>
      <c r="H337" s="14"/>
      <c r="I337" s="58"/>
      <c r="J337" s="74"/>
    </row>
    <row r="338" spans="1:10" s="22" customFormat="1" ht="18.2" customHeight="1" x14ac:dyDescent="0.15">
      <c r="A338" s="316"/>
      <c r="B338" s="316" t="s">
        <v>1515</v>
      </c>
      <c r="C338" s="12" t="s">
        <v>1192</v>
      </c>
      <c r="D338" s="51"/>
      <c r="E338" s="51">
        <v>341510</v>
      </c>
      <c r="F338" s="74"/>
      <c r="G338" s="387" t="s">
        <v>1193</v>
      </c>
      <c r="H338" s="14"/>
      <c r="I338" s="58"/>
      <c r="J338" s="74"/>
    </row>
    <row r="339" spans="1:10" s="22" customFormat="1" ht="18.2" customHeight="1" x14ac:dyDescent="0.15">
      <c r="A339" s="316"/>
      <c r="B339" s="316"/>
      <c r="C339" s="12" t="s">
        <v>923</v>
      </c>
      <c r="D339" s="51"/>
      <c r="E339" s="51">
        <v>200000</v>
      </c>
      <c r="F339" s="74"/>
      <c r="G339" s="79" t="s">
        <v>1194</v>
      </c>
      <c r="H339" s="14"/>
      <c r="I339" s="58"/>
      <c r="J339" s="74"/>
    </row>
    <row r="340" spans="1:10" s="22" customFormat="1" ht="18.2" customHeight="1" x14ac:dyDescent="0.15">
      <c r="A340" s="316"/>
      <c r="B340" s="316"/>
      <c r="C340" s="12" t="s">
        <v>1195</v>
      </c>
      <c r="D340" s="51"/>
      <c r="E340" s="51">
        <v>46900</v>
      </c>
      <c r="F340" s="74"/>
      <c r="G340" s="79" t="s">
        <v>1196</v>
      </c>
      <c r="H340" s="14"/>
      <c r="I340" s="58"/>
      <c r="J340" s="74"/>
    </row>
    <row r="341" spans="1:10" s="22" customFormat="1" ht="18.2" customHeight="1" thickBot="1" x14ac:dyDescent="0.2">
      <c r="A341" s="316"/>
      <c r="B341" s="317"/>
      <c r="C341" s="124" t="s">
        <v>1197</v>
      </c>
      <c r="D341" s="141"/>
      <c r="E341" s="141">
        <v>275000</v>
      </c>
      <c r="F341" s="163"/>
      <c r="G341" s="354" t="s">
        <v>1198</v>
      </c>
      <c r="H341" s="143"/>
      <c r="I341" s="144"/>
      <c r="J341" s="163"/>
    </row>
    <row r="342" spans="1:10" s="22" customFormat="1" ht="18.2" customHeight="1" x14ac:dyDescent="0.15">
      <c r="A342" s="316"/>
      <c r="B342" s="145" t="s">
        <v>1481</v>
      </c>
      <c r="C342" s="323" t="s">
        <v>1276</v>
      </c>
      <c r="D342" s="335">
        <f>SUM(D343:D345)</f>
        <v>0</v>
      </c>
      <c r="E342" s="335">
        <f>SUM(E343:E345)</f>
        <v>5324124</v>
      </c>
      <c r="F342" s="72"/>
      <c r="G342" s="25"/>
      <c r="H342" s="9"/>
      <c r="I342" s="56"/>
      <c r="J342" s="72"/>
    </row>
    <row r="343" spans="1:10" s="22" customFormat="1" ht="18.2" customHeight="1" x14ac:dyDescent="0.15">
      <c r="A343" s="316"/>
      <c r="B343" s="316" t="s">
        <v>1395</v>
      </c>
      <c r="C343" s="12" t="s">
        <v>141</v>
      </c>
      <c r="D343" s="51"/>
      <c r="E343" s="51">
        <v>1989700</v>
      </c>
      <c r="F343" s="74"/>
      <c r="G343" s="387" t="s">
        <v>1516</v>
      </c>
      <c r="H343" s="14"/>
      <c r="I343" s="58"/>
      <c r="J343" s="74"/>
    </row>
    <row r="344" spans="1:10" s="22" customFormat="1" ht="18.2" customHeight="1" x14ac:dyDescent="0.15">
      <c r="A344" s="316"/>
      <c r="B344" s="316" t="s">
        <v>1397</v>
      </c>
      <c r="C344" s="12" t="s">
        <v>141</v>
      </c>
      <c r="D344" s="51"/>
      <c r="E344" s="51">
        <v>3158600</v>
      </c>
      <c r="F344" s="74"/>
      <c r="G344" s="387" t="s">
        <v>1517</v>
      </c>
      <c r="H344" s="14"/>
      <c r="I344" s="58"/>
      <c r="J344" s="74"/>
    </row>
    <row r="345" spans="1:10" s="22" customFormat="1" ht="18.2" customHeight="1" thickBot="1" x14ac:dyDescent="0.2">
      <c r="A345" s="316"/>
      <c r="B345" s="6" t="s">
        <v>1515</v>
      </c>
      <c r="C345" s="12" t="s">
        <v>867</v>
      </c>
      <c r="D345" s="51"/>
      <c r="E345" s="51">
        <v>175824</v>
      </c>
      <c r="F345" s="74"/>
      <c r="G345" s="79" t="s">
        <v>1518</v>
      </c>
      <c r="H345" s="14"/>
      <c r="I345" s="58"/>
      <c r="J345" s="74"/>
    </row>
    <row r="346" spans="1:10" ht="20.45" customHeight="1" thickBot="1" x14ac:dyDescent="0.2">
      <c r="A346" s="145" t="s">
        <v>1519</v>
      </c>
      <c r="B346" s="34"/>
      <c r="C346" s="34" t="s">
        <v>1274</v>
      </c>
      <c r="D346" s="253">
        <f>D347+D372+D386+D392+D406+D417+D426+D440+D458+D463+D484+D489</f>
        <v>1253248300</v>
      </c>
      <c r="E346" s="253">
        <f>E347+E372+E386+E392+E406+E417+E426+E440+E458+E463+E484+E489</f>
        <v>1334516455</v>
      </c>
      <c r="F346" s="158"/>
      <c r="G346" s="255"/>
      <c r="H346" s="36"/>
      <c r="I346" s="150"/>
      <c r="J346" s="76"/>
    </row>
    <row r="347" spans="1:10" ht="20.45" customHeight="1" x14ac:dyDescent="0.15">
      <c r="A347" s="316" t="s">
        <v>1520</v>
      </c>
      <c r="B347" s="316" t="s">
        <v>1521</v>
      </c>
      <c r="C347" s="323" t="s">
        <v>1276</v>
      </c>
      <c r="D347" s="335">
        <f>SUM(D348:D371)</f>
        <v>685001000</v>
      </c>
      <c r="E347" s="335">
        <f>SUM(E348:E371)</f>
        <v>637270176</v>
      </c>
      <c r="F347" s="156"/>
      <c r="G347" s="8"/>
      <c r="H347" s="9"/>
      <c r="I347" s="56"/>
      <c r="J347" s="53"/>
    </row>
    <row r="348" spans="1:10" ht="20.45" customHeight="1" x14ac:dyDescent="0.15">
      <c r="A348" s="316"/>
      <c r="B348" s="316" t="s">
        <v>1522</v>
      </c>
      <c r="C348" s="12" t="s">
        <v>867</v>
      </c>
      <c r="D348" s="51">
        <v>130800000</v>
      </c>
      <c r="E348" s="51">
        <v>108879672</v>
      </c>
      <c r="F348" s="120"/>
      <c r="G348" s="387" t="s">
        <v>1523</v>
      </c>
      <c r="H348" s="14"/>
      <c r="I348" s="58"/>
      <c r="J348" s="74"/>
    </row>
    <row r="349" spans="1:10" ht="20.45" customHeight="1" x14ac:dyDescent="0.15">
      <c r="A349" s="316"/>
      <c r="B349" s="316" t="s">
        <v>1524</v>
      </c>
      <c r="C349" s="12" t="s">
        <v>867</v>
      </c>
      <c r="D349" s="51">
        <v>3200000</v>
      </c>
      <c r="E349" s="51">
        <v>3640000</v>
      </c>
      <c r="F349" s="74"/>
      <c r="G349" s="387" t="s">
        <v>1525</v>
      </c>
      <c r="H349" s="14"/>
      <c r="I349" s="58"/>
      <c r="J349" s="74"/>
    </row>
    <row r="350" spans="1:10" ht="20.45" customHeight="1" x14ac:dyDescent="0.15">
      <c r="A350" s="316"/>
      <c r="B350" s="316"/>
      <c r="C350" s="12" t="s">
        <v>925</v>
      </c>
      <c r="D350" s="51">
        <v>113925000</v>
      </c>
      <c r="E350" s="51">
        <v>96199671</v>
      </c>
      <c r="F350" s="74"/>
      <c r="G350" s="387" t="s">
        <v>1526</v>
      </c>
      <c r="H350" s="14"/>
      <c r="I350" s="58"/>
      <c r="J350" s="74"/>
    </row>
    <row r="351" spans="1:10" ht="20.45" customHeight="1" x14ac:dyDescent="0.15">
      <c r="A351" s="316"/>
      <c r="B351" s="316"/>
      <c r="C351" s="12" t="s">
        <v>925</v>
      </c>
      <c r="D351" s="51">
        <v>1600000</v>
      </c>
      <c r="E351" s="51">
        <v>3442000</v>
      </c>
      <c r="F351" s="120"/>
      <c r="G351" s="387" t="s">
        <v>1527</v>
      </c>
      <c r="H351" s="14"/>
      <c r="I351" s="58"/>
      <c r="J351" s="74"/>
    </row>
    <row r="352" spans="1:10" ht="20.45" customHeight="1" x14ac:dyDescent="0.15">
      <c r="A352" s="316"/>
      <c r="B352" s="316"/>
      <c r="C352" s="12" t="s">
        <v>926</v>
      </c>
      <c r="D352" s="51">
        <v>179400000</v>
      </c>
      <c r="E352" s="51">
        <v>171540000</v>
      </c>
      <c r="F352" s="120"/>
      <c r="G352" s="387" t="s">
        <v>1528</v>
      </c>
      <c r="H352" s="14"/>
      <c r="I352" s="58"/>
      <c r="J352" s="74"/>
    </row>
    <row r="353" spans="1:10" ht="20.45" customHeight="1" x14ac:dyDescent="0.15">
      <c r="A353" s="316"/>
      <c r="B353" s="316"/>
      <c r="C353" s="12" t="s">
        <v>927</v>
      </c>
      <c r="D353" s="51">
        <v>12000000</v>
      </c>
      <c r="E353" s="51">
        <v>13190000</v>
      </c>
      <c r="F353" s="120"/>
      <c r="G353" s="387" t="s">
        <v>1529</v>
      </c>
      <c r="H353" s="14"/>
      <c r="I353" s="58"/>
      <c r="J353" s="74"/>
    </row>
    <row r="354" spans="1:10" ht="20.45" customHeight="1" x14ac:dyDescent="0.15">
      <c r="A354" s="316"/>
      <c r="B354" s="316"/>
      <c r="C354" s="12" t="s">
        <v>915</v>
      </c>
      <c r="D354" s="51">
        <v>5500000</v>
      </c>
      <c r="E354" s="51">
        <v>4004000</v>
      </c>
      <c r="F354" s="120"/>
      <c r="G354" s="387" t="s">
        <v>1530</v>
      </c>
      <c r="H354" s="14"/>
      <c r="I354" s="58"/>
      <c r="J354" s="51"/>
    </row>
    <row r="355" spans="1:10" ht="20.45" customHeight="1" x14ac:dyDescent="0.15">
      <c r="A355" s="316"/>
      <c r="B355" s="316"/>
      <c r="C355" s="12" t="s">
        <v>896</v>
      </c>
      <c r="D355" s="51">
        <v>3000000</v>
      </c>
      <c r="E355" s="51">
        <v>2206300</v>
      </c>
      <c r="F355" s="120"/>
      <c r="G355" s="387" t="s">
        <v>1531</v>
      </c>
      <c r="H355" s="14"/>
      <c r="I355" s="58"/>
      <c r="J355" s="74"/>
    </row>
    <row r="356" spans="1:10" ht="20.45" customHeight="1" x14ac:dyDescent="0.15">
      <c r="A356" s="316"/>
      <c r="B356" s="316"/>
      <c r="C356" s="12" t="s">
        <v>928</v>
      </c>
      <c r="D356" s="51">
        <v>2000000</v>
      </c>
      <c r="E356" s="51"/>
      <c r="F356" s="74"/>
      <c r="G356" s="387"/>
      <c r="H356" s="14"/>
      <c r="I356" s="58"/>
      <c r="J356" s="74"/>
    </row>
    <row r="357" spans="1:10" ht="20.45" customHeight="1" x14ac:dyDescent="0.15">
      <c r="A357" s="316"/>
      <c r="B357" s="316"/>
      <c r="C357" s="12" t="s">
        <v>879</v>
      </c>
      <c r="D357" s="51">
        <v>13200000</v>
      </c>
      <c r="E357" s="51">
        <v>11851945</v>
      </c>
      <c r="F357" s="74"/>
      <c r="G357" s="387" t="s">
        <v>1532</v>
      </c>
      <c r="H357" s="346"/>
      <c r="I357" s="58"/>
      <c r="J357" s="326"/>
    </row>
    <row r="358" spans="1:10" ht="20.45" customHeight="1" x14ac:dyDescent="0.15">
      <c r="A358" s="316"/>
      <c r="B358" s="316"/>
      <c r="C358" s="12" t="s">
        <v>929</v>
      </c>
      <c r="D358" s="51">
        <v>55000000</v>
      </c>
      <c r="E358" s="51">
        <v>55000000</v>
      </c>
      <c r="F358" s="74"/>
      <c r="G358" s="387" t="s">
        <v>1533</v>
      </c>
      <c r="H358" s="346"/>
      <c r="I358" s="58"/>
      <c r="J358" s="326"/>
    </row>
    <row r="359" spans="1:10" ht="20.45" customHeight="1" x14ac:dyDescent="0.15">
      <c r="A359" s="316"/>
      <c r="B359" s="316"/>
      <c r="C359" s="12" t="s">
        <v>929</v>
      </c>
      <c r="D359" s="51">
        <v>52500000</v>
      </c>
      <c r="E359" s="51">
        <v>52500000</v>
      </c>
      <c r="F359" s="74"/>
      <c r="G359" s="387" t="s">
        <v>1534</v>
      </c>
      <c r="H359" s="346"/>
      <c r="I359" s="58"/>
      <c r="J359" s="326"/>
    </row>
    <row r="360" spans="1:10" ht="20.45" customHeight="1" x14ac:dyDescent="0.15">
      <c r="A360" s="316"/>
      <c r="B360" s="316"/>
      <c r="C360" s="12" t="s">
        <v>929</v>
      </c>
      <c r="D360" s="51">
        <v>49500000</v>
      </c>
      <c r="E360" s="51">
        <v>49500000</v>
      </c>
      <c r="F360" s="74"/>
      <c r="G360" s="387" t="s">
        <v>1535</v>
      </c>
      <c r="H360" s="346"/>
      <c r="I360" s="58"/>
      <c r="J360" s="326"/>
    </row>
    <row r="361" spans="1:10" ht="20.45" customHeight="1" x14ac:dyDescent="0.15">
      <c r="A361" s="316"/>
      <c r="B361" s="316"/>
      <c r="C361" s="12" t="s">
        <v>929</v>
      </c>
      <c r="D361" s="51">
        <v>5500000</v>
      </c>
      <c r="E361" s="51">
        <v>5661120</v>
      </c>
      <c r="F361" s="74"/>
      <c r="G361" s="455" t="s">
        <v>1536</v>
      </c>
      <c r="H361" s="456"/>
      <c r="I361" s="58"/>
      <c r="J361" s="326"/>
    </row>
    <row r="362" spans="1:10" ht="20.45" customHeight="1" x14ac:dyDescent="0.15">
      <c r="A362" s="316"/>
      <c r="B362" s="316"/>
      <c r="C362" s="12" t="s">
        <v>929</v>
      </c>
      <c r="D362" s="51">
        <v>5500000</v>
      </c>
      <c r="E362" s="51">
        <v>5500000</v>
      </c>
      <c r="F362" s="74"/>
      <c r="G362" s="387" t="s">
        <v>1537</v>
      </c>
      <c r="H362" s="346"/>
      <c r="I362" s="58"/>
      <c r="J362" s="326"/>
    </row>
    <row r="363" spans="1:10" ht="20.45" customHeight="1" x14ac:dyDescent="0.15">
      <c r="A363" s="316"/>
      <c r="B363" s="316"/>
      <c r="C363" s="12" t="s">
        <v>929</v>
      </c>
      <c r="D363" s="51">
        <v>12900000</v>
      </c>
      <c r="E363" s="51">
        <v>8600000</v>
      </c>
      <c r="F363" s="120"/>
      <c r="G363" s="387" t="s">
        <v>1538</v>
      </c>
      <c r="H363" s="14"/>
      <c r="I363" s="58"/>
      <c r="J363" s="74"/>
    </row>
    <row r="364" spans="1:10" ht="20.45" customHeight="1" x14ac:dyDescent="0.15">
      <c r="A364" s="316"/>
      <c r="B364" s="316"/>
      <c r="C364" s="12" t="s">
        <v>930</v>
      </c>
      <c r="D364" s="51">
        <v>21576000</v>
      </c>
      <c r="E364" s="51">
        <v>26970000</v>
      </c>
      <c r="F364" s="74"/>
      <c r="G364" s="387" t="s">
        <v>1539</v>
      </c>
      <c r="H364" s="14"/>
      <c r="I364" s="58"/>
      <c r="J364" s="74"/>
    </row>
    <row r="365" spans="1:10" ht="20.45" customHeight="1" x14ac:dyDescent="0.15">
      <c r="A365" s="316"/>
      <c r="B365" s="316"/>
      <c r="C365" s="12" t="s">
        <v>931</v>
      </c>
      <c r="D365" s="51">
        <v>3300000</v>
      </c>
      <c r="E365" s="51">
        <v>3300000</v>
      </c>
      <c r="F365" s="74"/>
      <c r="G365" s="387" t="s">
        <v>1540</v>
      </c>
      <c r="H365" s="14"/>
      <c r="I365" s="58"/>
      <c r="J365" s="74"/>
    </row>
    <row r="366" spans="1:10" ht="20.45" customHeight="1" x14ac:dyDescent="0.15">
      <c r="A366" s="316"/>
      <c r="B366" s="316"/>
      <c r="C366" s="12" t="s">
        <v>932</v>
      </c>
      <c r="D366" s="51">
        <v>6000000</v>
      </c>
      <c r="E366" s="51">
        <v>6000000</v>
      </c>
      <c r="F366" s="120"/>
      <c r="G366" s="387" t="s">
        <v>1541</v>
      </c>
      <c r="H366" s="14"/>
      <c r="I366" s="58"/>
      <c r="J366" s="74"/>
    </row>
    <row r="367" spans="1:10" ht="20.45" customHeight="1" x14ac:dyDescent="0.15">
      <c r="A367" s="316"/>
      <c r="B367" s="316"/>
      <c r="C367" s="12" t="s">
        <v>933</v>
      </c>
      <c r="D367" s="51">
        <v>2000000</v>
      </c>
      <c r="E367" s="51"/>
      <c r="F367" s="120"/>
      <c r="G367" s="387"/>
      <c r="H367" s="14"/>
      <c r="I367" s="58"/>
      <c r="J367" s="74"/>
    </row>
    <row r="368" spans="1:10" ht="20.45" customHeight="1" x14ac:dyDescent="0.15">
      <c r="A368" s="316"/>
      <c r="B368" s="101"/>
      <c r="C368" s="12" t="s">
        <v>934</v>
      </c>
      <c r="D368" s="51">
        <v>2200000</v>
      </c>
      <c r="E368" s="51">
        <v>1533230</v>
      </c>
      <c r="F368" s="120"/>
      <c r="G368" s="387" t="s">
        <v>1542</v>
      </c>
      <c r="H368" s="14"/>
      <c r="I368" s="58"/>
      <c r="J368" s="74"/>
    </row>
    <row r="369" spans="1:10" ht="20.25" customHeight="1" x14ac:dyDescent="0.15">
      <c r="A369" s="316"/>
      <c r="B369" s="101"/>
      <c r="C369" s="12" t="s">
        <v>934</v>
      </c>
      <c r="D369" s="51">
        <v>4400000</v>
      </c>
      <c r="E369" s="51">
        <v>5675140</v>
      </c>
      <c r="F369" s="120"/>
      <c r="G369" s="387" t="s">
        <v>1543</v>
      </c>
      <c r="H369" s="14"/>
      <c r="I369" s="58"/>
      <c r="J369" s="74"/>
    </row>
    <row r="370" spans="1:10" ht="20.25" customHeight="1" x14ac:dyDescent="0.15">
      <c r="A370" s="316"/>
      <c r="B370" s="101"/>
      <c r="C370" s="6" t="s">
        <v>1544</v>
      </c>
      <c r="D370" s="69"/>
      <c r="E370" s="69">
        <v>1980000</v>
      </c>
      <c r="F370" s="129"/>
      <c r="G370" s="15" t="s">
        <v>1545</v>
      </c>
      <c r="H370" s="16"/>
      <c r="I370" s="59"/>
      <c r="J370" s="73"/>
    </row>
    <row r="371" spans="1:10" ht="20.25" customHeight="1" thickBot="1" x14ac:dyDescent="0.2">
      <c r="A371" s="316"/>
      <c r="B371" s="162"/>
      <c r="C371" s="6" t="s">
        <v>1441</v>
      </c>
      <c r="D371" s="141"/>
      <c r="E371" s="141">
        <v>97098</v>
      </c>
      <c r="F371" s="157"/>
      <c r="G371" s="142" t="s">
        <v>1546</v>
      </c>
      <c r="H371" s="143"/>
      <c r="I371" s="144"/>
      <c r="J371" s="163"/>
    </row>
    <row r="372" spans="1:10" ht="19.7" customHeight="1" x14ac:dyDescent="0.15">
      <c r="A372" s="316"/>
      <c r="B372" s="145" t="s">
        <v>1420</v>
      </c>
      <c r="C372" s="332" t="s">
        <v>1378</v>
      </c>
      <c r="D372" s="343">
        <f>SUM(D373:D385)</f>
        <v>29730000</v>
      </c>
      <c r="E372" s="343">
        <f>SUM(E373:E385)</f>
        <v>49355624</v>
      </c>
      <c r="F372" s="166"/>
      <c r="G372" s="176"/>
      <c r="H372" s="139"/>
      <c r="I372" s="140"/>
      <c r="J372" s="180"/>
    </row>
    <row r="373" spans="1:10" ht="19.7" customHeight="1" x14ac:dyDescent="0.15">
      <c r="A373" s="316"/>
      <c r="B373" s="316" t="s">
        <v>1547</v>
      </c>
      <c r="C373" s="12" t="s">
        <v>1548</v>
      </c>
      <c r="D373" s="51">
        <v>17600000</v>
      </c>
      <c r="E373" s="51">
        <v>17600000</v>
      </c>
      <c r="F373" s="120"/>
      <c r="G373" s="387" t="s">
        <v>1199</v>
      </c>
      <c r="H373" s="14"/>
      <c r="I373" s="58"/>
      <c r="J373" s="74"/>
    </row>
    <row r="374" spans="1:10" ht="19.7" customHeight="1" x14ac:dyDescent="0.15">
      <c r="A374" s="316"/>
      <c r="B374" s="316" t="s">
        <v>1549</v>
      </c>
      <c r="C374" s="12" t="s">
        <v>1550</v>
      </c>
      <c r="D374" s="51">
        <v>2622000</v>
      </c>
      <c r="E374" s="51">
        <v>3031600</v>
      </c>
      <c r="F374" s="74"/>
      <c r="G374" s="387" t="s">
        <v>1200</v>
      </c>
      <c r="H374" s="14"/>
      <c r="I374" s="58"/>
      <c r="J374" s="74"/>
    </row>
    <row r="375" spans="1:10" ht="19.7" customHeight="1" x14ac:dyDescent="0.15">
      <c r="A375" s="316"/>
      <c r="B375" s="316" t="s">
        <v>1551</v>
      </c>
      <c r="C375" s="6" t="s">
        <v>1552</v>
      </c>
      <c r="D375" s="53"/>
      <c r="E375" s="53">
        <v>7040000</v>
      </c>
      <c r="F375" s="73"/>
      <c r="G375" s="8" t="s">
        <v>1553</v>
      </c>
      <c r="H375" s="9"/>
      <c r="I375" s="56"/>
      <c r="J375" s="72"/>
    </row>
    <row r="376" spans="1:10" ht="19.7" customHeight="1" x14ac:dyDescent="0.15">
      <c r="A376" s="316"/>
      <c r="B376" s="316"/>
      <c r="C376" s="6" t="s">
        <v>1554</v>
      </c>
      <c r="D376" s="53"/>
      <c r="E376" s="53">
        <v>4840000</v>
      </c>
      <c r="F376" s="73"/>
      <c r="G376" s="8" t="s">
        <v>1201</v>
      </c>
      <c r="H376" s="9"/>
      <c r="I376" s="56"/>
      <c r="J376" s="72"/>
    </row>
    <row r="377" spans="1:10" ht="19.7" customHeight="1" x14ac:dyDescent="0.15">
      <c r="A377" s="316"/>
      <c r="B377" s="316"/>
      <c r="C377" s="6" t="s">
        <v>1555</v>
      </c>
      <c r="D377" s="53"/>
      <c r="E377" s="53">
        <v>968000</v>
      </c>
      <c r="F377" s="73"/>
      <c r="G377" s="8" t="s">
        <v>1202</v>
      </c>
      <c r="H377" s="9"/>
      <c r="I377" s="56"/>
      <c r="J377" s="72"/>
    </row>
    <row r="378" spans="1:10" ht="19.7" customHeight="1" x14ac:dyDescent="0.15">
      <c r="A378" s="316"/>
      <c r="B378" s="316"/>
      <c r="C378" s="6" t="s">
        <v>1556</v>
      </c>
      <c r="D378" s="53"/>
      <c r="E378" s="53">
        <v>7180790</v>
      </c>
      <c r="F378" s="73"/>
      <c r="G378" s="8" t="s">
        <v>1203</v>
      </c>
      <c r="H378" s="9"/>
      <c r="I378" s="56"/>
      <c r="J378" s="72"/>
    </row>
    <row r="379" spans="1:10" ht="19.7" customHeight="1" x14ac:dyDescent="0.15">
      <c r="A379" s="316"/>
      <c r="B379" s="316"/>
      <c r="C379" s="6" t="s">
        <v>1554</v>
      </c>
      <c r="D379" s="53"/>
      <c r="E379" s="53">
        <v>86035</v>
      </c>
      <c r="F379" s="73"/>
      <c r="G379" s="8" t="s">
        <v>1204</v>
      </c>
      <c r="H379" s="9"/>
      <c r="I379" s="56"/>
      <c r="J379" s="72"/>
    </row>
    <row r="380" spans="1:10" ht="19.7" customHeight="1" x14ac:dyDescent="0.15">
      <c r="A380" s="316"/>
      <c r="B380" s="154"/>
      <c r="C380" s="6" t="s">
        <v>924</v>
      </c>
      <c r="D380" s="53">
        <v>1500000</v>
      </c>
      <c r="E380" s="53"/>
      <c r="F380" s="73"/>
      <c r="G380" s="8"/>
      <c r="H380" s="9"/>
      <c r="I380" s="56"/>
      <c r="J380" s="72"/>
    </row>
    <row r="381" spans="1:10" ht="19.7" customHeight="1" x14ac:dyDescent="0.15">
      <c r="A381" s="316"/>
      <c r="B381" s="154"/>
      <c r="C381" s="6" t="s">
        <v>1557</v>
      </c>
      <c r="D381" s="53">
        <v>2808000</v>
      </c>
      <c r="E381" s="53">
        <v>3847800</v>
      </c>
      <c r="F381" s="73"/>
      <c r="G381" s="8" t="s">
        <v>1205</v>
      </c>
      <c r="H381" s="9"/>
      <c r="I381" s="56"/>
      <c r="J381" s="72"/>
    </row>
    <row r="382" spans="1:10" ht="19.7" customHeight="1" x14ac:dyDescent="0.15">
      <c r="A382" s="316"/>
      <c r="B382" s="154"/>
      <c r="C382" s="6" t="s">
        <v>1558</v>
      </c>
      <c r="D382" s="53">
        <v>5200000</v>
      </c>
      <c r="E382" s="53"/>
      <c r="F382" s="74"/>
      <c r="G382" s="8"/>
      <c r="H382" s="9"/>
      <c r="I382" s="56"/>
      <c r="J382" s="72"/>
    </row>
    <row r="383" spans="1:10" ht="19.7" customHeight="1" x14ac:dyDescent="0.15">
      <c r="A383" s="316"/>
      <c r="B383" s="154"/>
      <c r="C383" s="6" t="s">
        <v>1559</v>
      </c>
      <c r="D383" s="53"/>
      <c r="E383" s="53">
        <v>4420500</v>
      </c>
      <c r="F383" s="74"/>
      <c r="G383" s="8" t="s">
        <v>1206</v>
      </c>
      <c r="H383" s="9"/>
      <c r="I383" s="56"/>
      <c r="J383" s="72"/>
    </row>
    <row r="384" spans="1:10" ht="19.7" customHeight="1" x14ac:dyDescent="0.15">
      <c r="A384" s="316"/>
      <c r="B384" s="154"/>
      <c r="C384" s="6" t="s">
        <v>1560</v>
      </c>
      <c r="D384" s="53"/>
      <c r="E384" s="53">
        <v>165889</v>
      </c>
      <c r="F384" s="74"/>
      <c r="G384" s="8" t="s">
        <v>1207</v>
      </c>
      <c r="H384" s="9"/>
      <c r="I384" s="56"/>
      <c r="J384" s="72"/>
    </row>
    <row r="385" spans="1:10" ht="19.7" customHeight="1" thickBot="1" x14ac:dyDescent="0.2">
      <c r="A385" s="316"/>
      <c r="B385" s="154"/>
      <c r="C385" s="316" t="s">
        <v>1441</v>
      </c>
      <c r="D385" s="26"/>
      <c r="E385" s="26">
        <v>175010</v>
      </c>
      <c r="F385" s="73"/>
      <c r="G385" s="10" t="s">
        <v>1561</v>
      </c>
      <c r="H385" s="11"/>
      <c r="I385" s="57"/>
      <c r="J385" s="75"/>
    </row>
    <row r="386" spans="1:10" ht="19.7" customHeight="1" x14ac:dyDescent="0.15">
      <c r="A386" s="316"/>
      <c r="B386" s="145" t="s">
        <v>1420</v>
      </c>
      <c r="C386" s="332" t="s">
        <v>1562</v>
      </c>
      <c r="D386" s="343">
        <f>SUM(D387:D391)</f>
        <v>0</v>
      </c>
      <c r="E386" s="343">
        <f>SUM(E387:E391)</f>
        <v>53696313</v>
      </c>
      <c r="F386" s="136"/>
      <c r="G386" s="176"/>
      <c r="H386" s="139"/>
      <c r="I386" s="140"/>
      <c r="J386" s="137"/>
    </row>
    <row r="387" spans="1:10" ht="19.7" customHeight="1" x14ac:dyDescent="0.15">
      <c r="A387" s="316"/>
      <c r="B387" s="316" t="s">
        <v>1547</v>
      </c>
      <c r="C387" s="6" t="s">
        <v>1563</v>
      </c>
      <c r="D387" s="53"/>
      <c r="E387" s="53">
        <v>9328000</v>
      </c>
      <c r="F387" s="53"/>
      <c r="G387" s="8" t="s">
        <v>1564</v>
      </c>
      <c r="H387" s="9"/>
      <c r="I387" s="56"/>
      <c r="J387" s="72"/>
    </row>
    <row r="388" spans="1:10" ht="19.7" customHeight="1" x14ac:dyDescent="0.15">
      <c r="A388" s="316"/>
      <c r="B388" s="316" t="s">
        <v>1549</v>
      </c>
      <c r="C388" s="6" t="s">
        <v>1565</v>
      </c>
      <c r="D388" s="53"/>
      <c r="E388" s="53">
        <v>24321670</v>
      </c>
      <c r="F388" s="53"/>
      <c r="G388" s="8" t="s">
        <v>1566</v>
      </c>
      <c r="H388" s="9"/>
      <c r="I388" s="56"/>
      <c r="J388" s="72"/>
    </row>
    <row r="389" spans="1:10" ht="19.7" customHeight="1" x14ac:dyDescent="0.15">
      <c r="A389" s="316"/>
      <c r="B389" s="316" t="s">
        <v>1567</v>
      </c>
      <c r="C389" s="6" t="s">
        <v>1568</v>
      </c>
      <c r="D389" s="53"/>
      <c r="E389" s="53">
        <v>16415078</v>
      </c>
      <c r="F389" s="53"/>
      <c r="G389" s="8" t="s">
        <v>1569</v>
      </c>
      <c r="H389" s="9"/>
      <c r="I389" s="56"/>
      <c r="J389" s="72"/>
    </row>
    <row r="390" spans="1:10" ht="19.7" customHeight="1" x14ac:dyDescent="0.15">
      <c r="A390" s="316"/>
      <c r="B390" s="154"/>
      <c r="C390" s="6" t="s">
        <v>1570</v>
      </c>
      <c r="D390" s="53"/>
      <c r="E390" s="53">
        <v>3586000</v>
      </c>
      <c r="F390" s="53"/>
      <c r="G390" s="8" t="s">
        <v>1571</v>
      </c>
      <c r="H390" s="9"/>
      <c r="I390" s="56"/>
      <c r="J390" s="72"/>
    </row>
    <row r="391" spans="1:10" ht="19.7" customHeight="1" thickBot="1" x14ac:dyDescent="0.2">
      <c r="A391" s="316"/>
      <c r="B391" s="464"/>
      <c r="C391" s="317" t="s">
        <v>1441</v>
      </c>
      <c r="D391" s="465"/>
      <c r="E391" s="465">
        <v>45565</v>
      </c>
      <c r="F391" s="465"/>
      <c r="G391" s="152" t="s">
        <v>1572</v>
      </c>
      <c r="H391" s="466"/>
      <c r="I391" s="467"/>
      <c r="J391" s="468"/>
    </row>
    <row r="392" spans="1:10" ht="19.7" customHeight="1" x14ac:dyDescent="0.15">
      <c r="A392" s="316"/>
      <c r="B392" s="164" t="s">
        <v>1573</v>
      </c>
      <c r="C392" s="332" t="s">
        <v>1378</v>
      </c>
      <c r="D392" s="343">
        <f>SUM(D393:D405)</f>
        <v>207019000</v>
      </c>
      <c r="E392" s="343">
        <f>SUM(E393:E405)</f>
        <v>189793057</v>
      </c>
      <c r="F392" s="166"/>
      <c r="G392" s="138"/>
      <c r="H392" s="139"/>
      <c r="I392" s="140"/>
      <c r="J392" s="311"/>
    </row>
    <row r="393" spans="1:10" ht="19.7" customHeight="1" x14ac:dyDescent="0.15">
      <c r="A393" s="316"/>
      <c r="B393" s="127" t="s">
        <v>1574</v>
      </c>
      <c r="C393" s="316" t="s">
        <v>867</v>
      </c>
      <c r="D393" s="26">
        <v>43600000</v>
      </c>
      <c r="E393" s="26">
        <v>30060680</v>
      </c>
      <c r="F393" s="129"/>
      <c r="G393" s="387" t="s">
        <v>1575</v>
      </c>
      <c r="H393" s="16"/>
      <c r="I393" s="59"/>
      <c r="J393" s="75"/>
    </row>
    <row r="394" spans="1:10" ht="19.7" customHeight="1" x14ac:dyDescent="0.15">
      <c r="A394" s="316"/>
      <c r="B394" s="127" t="s">
        <v>1576</v>
      </c>
      <c r="C394" s="12" t="s">
        <v>925</v>
      </c>
      <c r="D394" s="51">
        <v>37975000</v>
      </c>
      <c r="E394" s="51">
        <v>30322510</v>
      </c>
      <c r="F394" s="129"/>
      <c r="G394" s="387" t="s">
        <v>1577</v>
      </c>
      <c r="H394" s="14"/>
      <c r="I394" s="58"/>
      <c r="J394" s="74"/>
    </row>
    <row r="395" spans="1:10" ht="19.7" customHeight="1" x14ac:dyDescent="0.15">
      <c r="A395" s="316"/>
      <c r="B395" s="127"/>
      <c r="C395" s="12" t="s">
        <v>926</v>
      </c>
      <c r="D395" s="51">
        <v>55200000</v>
      </c>
      <c r="E395" s="51">
        <v>55320000</v>
      </c>
      <c r="F395" s="129"/>
      <c r="G395" s="387" t="s">
        <v>1578</v>
      </c>
      <c r="H395" s="14"/>
      <c r="I395" s="58"/>
      <c r="J395" s="73"/>
    </row>
    <row r="396" spans="1:10" ht="19.7" customHeight="1" x14ac:dyDescent="0.15">
      <c r="A396" s="316"/>
      <c r="B396" s="127"/>
      <c r="C396" s="12" t="s">
        <v>927</v>
      </c>
      <c r="D396" s="51">
        <v>4000000</v>
      </c>
      <c r="E396" s="51">
        <v>4900000</v>
      </c>
      <c r="F396" s="129"/>
      <c r="G396" s="387" t="s">
        <v>1579</v>
      </c>
      <c r="H396" s="14"/>
      <c r="I396" s="58"/>
      <c r="J396" s="73"/>
    </row>
    <row r="397" spans="1:10" ht="19.7" customHeight="1" x14ac:dyDescent="0.15">
      <c r="A397" s="316"/>
      <c r="B397" s="127"/>
      <c r="C397" s="12" t="s">
        <v>915</v>
      </c>
      <c r="D397" s="51">
        <v>2750000</v>
      </c>
      <c r="E397" s="51">
        <v>990000</v>
      </c>
      <c r="F397" s="129"/>
      <c r="G397" s="387" t="s">
        <v>1580</v>
      </c>
      <c r="H397" s="14"/>
      <c r="I397" s="58"/>
      <c r="J397" s="73"/>
    </row>
    <row r="398" spans="1:10" ht="19.7" customHeight="1" x14ac:dyDescent="0.15">
      <c r="A398" s="316"/>
      <c r="B398" s="127"/>
      <c r="C398" s="12" t="s">
        <v>896</v>
      </c>
      <c r="D398" s="51">
        <v>1000000</v>
      </c>
      <c r="E398" s="51">
        <v>3145900</v>
      </c>
      <c r="F398" s="129"/>
      <c r="G398" s="387" t="s">
        <v>1581</v>
      </c>
      <c r="H398" s="14"/>
      <c r="I398" s="58"/>
      <c r="J398" s="73"/>
    </row>
    <row r="399" spans="1:10" ht="19.7" customHeight="1" x14ac:dyDescent="0.15">
      <c r="A399" s="316"/>
      <c r="B399" s="127"/>
      <c r="C399" s="12" t="s">
        <v>928</v>
      </c>
      <c r="D399" s="51">
        <v>1000000</v>
      </c>
      <c r="E399" s="51"/>
      <c r="F399" s="129"/>
      <c r="G399" s="387"/>
      <c r="H399" s="14"/>
      <c r="I399" s="58"/>
      <c r="J399" s="73"/>
    </row>
    <row r="400" spans="1:10" ht="19.7" customHeight="1" x14ac:dyDescent="0.15">
      <c r="A400" s="316"/>
      <c r="B400" s="127"/>
      <c r="C400" s="12" t="s">
        <v>879</v>
      </c>
      <c r="D400" s="51">
        <v>3000000</v>
      </c>
      <c r="E400" s="51">
        <v>5275000</v>
      </c>
      <c r="F400" s="129"/>
      <c r="G400" s="387" t="s">
        <v>1582</v>
      </c>
      <c r="H400" s="14"/>
      <c r="I400" s="58"/>
      <c r="J400" s="73"/>
    </row>
    <row r="401" spans="1:10" ht="19.7" customHeight="1" x14ac:dyDescent="0.15">
      <c r="A401" s="316"/>
      <c r="B401" s="127"/>
      <c r="C401" s="12" t="s">
        <v>929</v>
      </c>
      <c r="D401" s="51">
        <v>45000000</v>
      </c>
      <c r="E401" s="51">
        <v>45000000</v>
      </c>
      <c r="F401" s="129"/>
      <c r="G401" s="387" t="s">
        <v>1583</v>
      </c>
      <c r="H401" s="14"/>
      <c r="I401" s="58"/>
      <c r="J401" s="73"/>
    </row>
    <row r="402" spans="1:10" ht="19.7" customHeight="1" x14ac:dyDescent="0.15">
      <c r="A402" s="316"/>
      <c r="B402" s="127"/>
      <c r="C402" s="12" t="s">
        <v>929</v>
      </c>
      <c r="D402" s="51">
        <v>4500000</v>
      </c>
      <c r="E402" s="51">
        <v>4500000</v>
      </c>
      <c r="F402" s="129"/>
      <c r="G402" s="387" t="s">
        <v>1584</v>
      </c>
      <c r="H402" s="14"/>
      <c r="I402" s="58"/>
      <c r="J402" s="73"/>
    </row>
    <row r="403" spans="1:10" ht="19.7" customHeight="1" x14ac:dyDescent="0.15">
      <c r="A403" s="316"/>
      <c r="B403" s="127"/>
      <c r="C403" s="12" t="s">
        <v>930</v>
      </c>
      <c r="D403" s="51">
        <v>5394000</v>
      </c>
      <c r="E403" s="51">
        <v>7192000</v>
      </c>
      <c r="F403" s="129"/>
      <c r="G403" s="387" t="s">
        <v>1208</v>
      </c>
      <c r="H403" s="14"/>
      <c r="I403" s="58"/>
      <c r="J403" s="73"/>
    </row>
    <row r="404" spans="1:10" ht="19.7" customHeight="1" x14ac:dyDescent="0.15">
      <c r="A404" s="316"/>
      <c r="B404" s="127"/>
      <c r="C404" s="12" t="s">
        <v>934</v>
      </c>
      <c r="D404" s="51">
        <v>3600000</v>
      </c>
      <c r="E404" s="51">
        <v>2952620</v>
      </c>
      <c r="F404" s="129"/>
      <c r="G404" s="387" t="s">
        <v>1585</v>
      </c>
      <c r="H404" s="14"/>
      <c r="I404" s="58"/>
      <c r="J404" s="73"/>
    </row>
    <row r="405" spans="1:10" ht="19.7" customHeight="1" thickBot="1" x14ac:dyDescent="0.2">
      <c r="A405" s="316"/>
      <c r="B405" s="153"/>
      <c r="C405" s="12" t="s">
        <v>1441</v>
      </c>
      <c r="D405" s="51"/>
      <c r="E405" s="51">
        <v>134347</v>
      </c>
      <c r="F405" s="129"/>
      <c r="G405" s="387" t="s">
        <v>1572</v>
      </c>
      <c r="H405" s="14"/>
      <c r="I405" s="58"/>
      <c r="J405" s="73"/>
    </row>
    <row r="406" spans="1:10" ht="19.7" customHeight="1" x14ac:dyDescent="0.15">
      <c r="A406" s="316"/>
      <c r="B406" s="164" t="s">
        <v>1573</v>
      </c>
      <c r="C406" s="332" t="s">
        <v>1378</v>
      </c>
      <c r="D406" s="343">
        <f>SUM(D407:D416)</f>
        <v>31135000</v>
      </c>
      <c r="E406" s="343">
        <f>SUM(E407:E416)</f>
        <v>31046723</v>
      </c>
      <c r="F406" s="166"/>
      <c r="G406" s="138"/>
      <c r="H406" s="139"/>
      <c r="I406" s="140"/>
      <c r="J406" s="137"/>
    </row>
    <row r="407" spans="1:10" ht="19.7" customHeight="1" x14ac:dyDescent="0.15">
      <c r="A407" s="316"/>
      <c r="B407" s="127" t="s">
        <v>1547</v>
      </c>
      <c r="C407" s="316" t="s">
        <v>1548</v>
      </c>
      <c r="D407" s="26">
        <v>11930000</v>
      </c>
      <c r="E407" s="26">
        <v>11544700</v>
      </c>
      <c r="F407" s="129"/>
      <c r="G407" s="15" t="s">
        <v>1209</v>
      </c>
      <c r="H407" s="16"/>
      <c r="I407" s="59"/>
      <c r="J407" s="74"/>
    </row>
    <row r="408" spans="1:10" ht="19.7" customHeight="1" x14ac:dyDescent="0.15">
      <c r="A408" s="316"/>
      <c r="B408" s="127" t="s">
        <v>1549</v>
      </c>
      <c r="C408" s="12" t="s">
        <v>1552</v>
      </c>
      <c r="D408" s="51">
        <v>10500000</v>
      </c>
      <c r="E408" s="51">
        <v>8792700</v>
      </c>
      <c r="F408" s="129"/>
      <c r="G408" s="387" t="s">
        <v>1210</v>
      </c>
      <c r="H408" s="14"/>
      <c r="I408" s="58"/>
      <c r="J408" s="74"/>
    </row>
    <row r="409" spans="1:10" ht="19.7" customHeight="1" x14ac:dyDescent="0.15">
      <c r="A409" s="316"/>
      <c r="B409" s="127" t="s">
        <v>1551</v>
      </c>
      <c r="C409" s="12" t="s">
        <v>1554</v>
      </c>
      <c r="D409" s="51">
        <v>4650000</v>
      </c>
      <c r="E409" s="51">
        <v>3646500</v>
      </c>
      <c r="F409" s="129"/>
      <c r="G409" s="387" t="s">
        <v>1211</v>
      </c>
      <c r="H409" s="14"/>
      <c r="I409" s="58"/>
      <c r="J409" s="74"/>
    </row>
    <row r="410" spans="1:10" ht="19.7" customHeight="1" x14ac:dyDescent="0.15">
      <c r="A410" s="316"/>
      <c r="B410" s="127"/>
      <c r="C410" s="12" t="s">
        <v>1555</v>
      </c>
      <c r="D410" s="51">
        <v>715000</v>
      </c>
      <c r="E410" s="51">
        <v>715000</v>
      </c>
      <c r="F410" s="129"/>
      <c r="G410" s="387" t="s">
        <v>1212</v>
      </c>
      <c r="H410" s="14"/>
      <c r="I410" s="58"/>
      <c r="J410" s="74"/>
    </row>
    <row r="411" spans="1:10" ht="19.7" customHeight="1" x14ac:dyDescent="0.15">
      <c r="A411" s="316"/>
      <c r="B411" s="127"/>
      <c r="C411" s="12" t="s">
        <v>1586</v>
      </c>
      <c r="D411" s="51">
        <v>1000000</v>
      </c>
      <c r="E411" s="51">
        <v>1072255</v>
      </c>
      <c r="F411" s="129"/>
      <c r="G411" s="387" t="s">
        <v>1587</v>
      </c>
      <c r="H411" s="14"/>
      <c r="I411" s="58"/>
      <c r="J411" s="74"/>
    </row>
    <row r="412" spans="1:10" ht="19.7" customHeight="1" x14ac:dyDescent="0.15">
      <c r="A412" s="316"/>
      <c r="B412" s="127"/>
      <c r="C412" s="12" t="s">
        <v>1557</v>
      </c>
      <c r="D412" s="51">
        <v>2340000</v>
      </c>
      <c r="E412" s="51">
        <v>1134375</v>
      </c>
      <c r="F412" s="129"/>
      <c r="G412" s="387" t="s">
        <v>1213</v>
      </c>
      <c r="H412" s="14"/>
      <c r="I412" s="58"/>
      <c r="J412" s="74"/>
    </row>
    <row r="413" spans="1:10" ht="19.7" customHeight="1" x14ac:dyDescent="0.15">
      <c r="A413" s="316"/>
      <c r="B413" s="153"/>
      <c r="C413" s="12" t="s">
        <v>1588</v>
      </c>
      <c r="D413" s="51"/>
      <c r="E413" s="51">
        <v>1336000</v>
      </c>
      <c r="F413" s="129"/>
      <c r="G413" s="387" t="s">
        <v>1214</v>
      </c>
      <c r="H413" s="14"/>
      <c r="I413" s="58"/>
      <c r="J413" s="74"/>
    </row>
    <row r="414" spans="1:10" ht="19.7" customHeight="1" x14ac:dyDescent="0.15">
      <c r="A414" s="316"/>
      <c r="B414" s="153"/>
      <c r="C414" s="12" t="s">
        <v>1589</v>
      </c>
      <c r="D414" s="51"/>
      <c r="E414" s="51">
        <v>1971779</v>
      </c>
      <c r="F414" s="120"/>
      <c r="G414" s="387" t="s">
        <v>1590</v>
      </c>
      <c r="H414" s="14"/>
      <c r="I414" s="58"/>
      <c r="J414" s="74"/>
    </row>
    <row r="415" spans="1:10" ht="19.7" customHeight="1" x14ac:dyDescent="0.15">
      <c r="A415" s="316"/>
      <c r="B415" s="153"/>
      <c r="C415" s="12" t="s">
        <v>1591</v>
      </c>
      <c r="D415" s="51"/>
      <c r="E415" s="51">
        <v>695316</v>
      </c>
      <c r="F415" s="120"/>
      <c r="G415" s="387" t="s">
        <v>1215</v>
      </c>
      <c r="H415" s="14"/>
      <c r="I415" s="58"/>
      <c r="J415" s="74"/>
    </row>
    <row r="416" spans="1:10" ht="19.7" customHeight="1" thickBot="1" x14ac:dyDescent="0.2">
      <c r="A416" s="316"/>
      <c r="B416" s="316"/>
      <c r="C416" s="124" t="s">
        <v>1441</v>
      </c>
      <c r="D416" s="141"/>
      <c r="E416" s="141">
        <v>138098</v>
      </c>
      <c r="F416" s="157"/>
      <c r="G416" s="142" t="s">
        <v>1572</v>
      </c>
      <c r="H416" s="143"/>
      <c r="I416" s="144"/>
      <c r="J416" s="163"/>
    </row>
    <row r="417" spans="1:10" ht="19.7" customHeight="1" x14ac:dyDescent="0.15">
      <c r="A417" s="316"/>
      <c r="B417" s="164" t="s">
        <v>1573</v>
      </c>
      <c r="C417" s="332" t="s">
        <v>1562</v>
      </c>
      <c r="D417" s="343">
        <f>SUM(D418:D425)</f>
        <v>0</v>
      </c>
      <c r="E417" s="343">
        <f>SUM(E418:E425)</f>
        <v>27423684</v>
      </c>
      <c r="F417" s="159"/>
      <c r="G417" s="176"/>
      <c r="H417" s="139"/>
      <c r="I417" s="140"/>
      <c r="J417" s="137"/>
    </row>
    <row r="418" spans="1:10" ht="19.7" customHeight="1" x14ac:dyDescent="0.15">
      <c r="A418" s="316"/>
      <c r="B418" s="127" t="s">
        <v>1547</v>
      </c>
      <c r="C418" s="12" t="s">
        <v>1563</v>
      </c>
      <c r="D418" s="51"/>
      <c r="E418" s="51">
        <v>10822500</v>
      </c>
      <c r="F418" s="120"/>
      <c r="G418" s="387" t="s">
        <v>1592</v>
      </c>
      <c r="H418" s="14"/>
      <c r="I418" s="58"/>
      <c r="J418" s="74"/>
    </row>
    <row r="419" spans="1:10" ht="19.7" customHeight="1" x14ac:dyDescent="0.15">
      <c r="A419" s="316"/>
      <c r="B419" s="127" t="s">
        <v>1549</v>
      </c>
      <c r="C419" s="12" t="s">
        <v>1565</v>
      </c>
      <c r="D419" s="51"/>
      <c r="E419" s="51">
        <v>6902666</v>
      </c>
      <c r="F419" s="120"/>
      <c r="G419" s="387" t="s">
        <v>1593</v>
      </c>
      <c r="H419" s="14"/>
      <c r="I419" s="58"/>
      <c r="J419" s="74"/>
    </row>
    <row r="420" spans="1:10" ht="19.7" customHeight="1" x14ac:dyDescent="0.15">
      <c r="A420" s="316"/>
      <c r="B420" s="127" t="s">
        <v>1594</v>
      </c>
      <c r="C420" s="12" t="s">
        <v>1568</v>
      </c>
      <c r="D420" s="51"/>
      <c r="E420" s="51">
        <v>4966500</v>
      </c>
      <c r="F420" s="120"/>
      <c r="G420" s="387" t="s">
        <v>1595</v>
      </c>
      <c r="H420" s="14"/>
      <c r="I420" s="58"/>
      <c r="J420" s="74"/>
    </row>
    <row r="421" spans="1:10" ht="19.7" customHeight="1" x14ac:dyDescent="0.15">
      <c r="A421" s="316"/>
      <c r="B421" s="316"/>
      <c r="C421" s="12" t="s">
        <v>1570</v>
      </c>
      <c r="D421" s="51"/>
      <c r="E421" s="51">
        <v>1155000</v>
      </c>
      <c r="F421" s="120"/>
      <c r="G421" s="387" t="s">
        <v>1596</v>
      </c>
      <c r="H421" s="14"/>
      <c r="I421" s="58"/>
      <c r="J421" s="74"/>
    </row>
    <row r="422" spans="1:10" ht="19.7" customHeight="1" x14ac:dyDescent="0.15">
      <c r="A422" s="316"/>
      <c r="B422" s="316"/>
      <c r="C422" s="12" t="s">
        <v>1591</v>
      </c>
      <c r="D422" s="51"/>
      <c r="E422" s="51">
        <v>551600</v>
      </c>
      <c r="F422" s="120"/>
      <c r="G422" s="387" t="s">
        <v>1597</v>
      </c>
      <c r="H422" s="14"/>
      <c r="I422" s="58"/>
      <c r="J422" s="74"/>
    </row>
    <row r="423" spans="1:10" ht="19.7" customHeight="1" x14ac:dyDescent="0.15">
      <c r="A423" s="316"/>
      <c r="B423" s="316"/>
      <c r="C423" s="12" t="s">
        <v>1598</v>
      </c>
      <c r="D423" s="51"/>
      <c r="E423" s="51">
        <v>2518180</v>
      </c>
      <c r="F423" s="120"/>
      <c r="G423" s="387" t="s">
        <v>1599</v>
      </c>
      <c r="H423" s="14"/>
      <c r="I423" s="58"/>
      <c r="J423" s="74"/>
    </row>
    <row r="424" spans="1:10" ht="19.7" customHeight="1" x14ac:dyDescent="0.15">
      <c r="A424" s="316"/>
      <c r="B424" s="316"/>
      <c r="C424" s="12" t="s">
        <v>1589</v>
      </c>
      <c r="D424" s="51"/>
      <c r="E424" s="51">
        <v>468610</v>
      </c>
      <c r="F424" s="120"/>
      <c r="G424" s="387" t="s">
        <v>1600</v>
      </c>
      <c r="H424" s="14"/>
      <c r="I424" s="58"/>
      <c r="J424" s="74"/>
    </row>
    <row r="425" spans="1:10" ht="19.7" customHeight="1" thickBot="1" x14ac:dyDescent="0.2">
      <c r="A425" s="316"/>
      <c r="B425" s="316"/>
      <c r="C425" s="12" t="s">
        <v>1441</v>
      </c>
      <c r="D425" s="51"/>
      <c r="E425" s="51">
        <v>38628</v>
      </c>
      <c r="F425" s="120"/>
      <c r="G425" s="387" t="s">
        <v>1572</v>
      </c>
      <c r="H425" s="14"/>
      <c r="I425" s="58"/>
      <c r="J425" s="74"/>
    </row>
    <row r="426" spans="1:10" ht="19.7" customHeight="1" x14ac:dyDescent="0.15">
      <c r="A426" s="316"/>
      <c r="B426" s="164" t="s">
        <v>1423</v>
      </c>
      <c r="C426" s="332" t="s">
        <v>1378</v>
      </c>
      <c r="D426" s="343">
        <f>SUM(D427:D439)</f>
        <v>70864000</v>
      </c>
      <c r="E426" s="343">
        <f>SUM(E427:E439)</f>
        <v>70864000</v>
      </c>
      <c r="F426" s="159"/>
      <c r="G426" s="138"/>
      <c r="H426" s="139"/>
      <c r="I426" s="140"/>
      <c r="J426" s="137"/>
    </row>
    <row r="427" spans="1:10" ht="19.7" customHeight="1" x14ac:dyDescent="0.15">
      <c r="A427" s="316"/>
      <c r="B427" s="127" t="s">
        <v>1427</v>
      </c>
      <c r="C427" s="6" t="s">
        <v>935</v>
      </c>
      <c r="D427" s="53">
        <v>3600000</v>
      </c>
      <c r="E427" s="53">
        <v>3600000</v>
      </c>
      <c r="F427" s="120"/>
      <c r="G427" s="94" t="s">
        <v>1216</v>
      </c>
      <c r="H427" s="9"/>
      <c r="I427" s="56"/>
      <c r="J427" s="72"/>
    </row>
    <row r="428" spans="1:10" ht="19.7" customHeight="1" x14ac:dyDescent="0.15">
      <c r="A428" s="316"/>
      <c r="B428" s="127" t="s">
        <v>1601</v>
      </c>
      <c r="C428" s="6" t="s">
        <v>867</v>
      </c>
      <c r="D428" s="53">
        <v>22800000</v>
      </c>
      <c r="E428" s="53">
        <v>22800000</v>
      </c>
      <c r="F428" s="120"/>
      <c r="G428" s="94" t="s">
        <v>1217</v>
      </c>
      <c r="H428" s="9"/>
      <c r="I428" s="56"/>
      <c r="J428" s="72"/>
    </row>
    <row r="429" spans="1:10" ht="19.7" customHeight="1" x14ac:dyDescent="0.15">
      <c r="A429" s="316"/>
      <c r="B429" s="127" t="s">
        <v>1602</v>
      </c>
      <c r="C429" s="6" t="s">
        <v>936</v>
      </c>
      <c r="D429" s="53">
        <v>16800000</v>
      </c>
      <c r="E429" s="53">
        <v>16800000</v>
      </c>
      <c r="F429" s="120"/>
      <c r="G429" s="94" t="s">
        <v>1218</v>
      </c>
      <c r="H429" s="9"/>
      <c r="I429" s="56"/>
      <c r="J429" s="72"/>
    </row>
    <row r="430" spans="1:10" ht="19.7" customHeight="1" x14ac:dyDescent="0.15">
      <c r="A430" s="316"/>
      <c r="B430" s="153"/>
      <c r="C430" s="6" t="s">
        <v>937</v>
      </c>
      <c r="D430" s="53">
        <v>3000000</v>
      </c>
      <c r="E430" s="53">
        <v>3000000</v>
      </c>
      <c r="F430" s="120"/>
      <c r="G430" s="94" t="s">
        <v>1219</v>
      </c>
      <c r="H430" s="9"/>
      <c r="I430" s="56"/>
      <c r="J430" s="72"/>
    </row>
    <row r="431" spans="1:10" ht="19.7" customHeight="1" x14ac:dyDescent="0.15">
      <c r="A431" s="316"/>
      <c r="B431" s="153"/>
      <c r="C431" s="6" t="s">
        <v>938</v>
      </c>
      <c r="D431" s="53">
        <v>3500000</v>
      </c>
      <c r="E431" s="53">
        <v>3500000</v>
      </c>
      <c r="F431" s="120"/>
      <c r="G431" s="94" t="s">
        <v>1220</v>
      </c>
      <c r="H431" s="9"/>
      <c r="I431" s="56"/>
      <c r="J431" s="72"/>
    </row>
    <row r="432" spans="1:10" ht="19.7" customHeight="1" x14ac:dyDescent="0.15">
      <c r="A432" s="316"/>
      <c r="B432" s="153"/>
      <c r="C432" s="6" t="s">
        <v>921</v>
      </c>
      <c r="D432" s="53">
        <v>90000</v>
      </c>
      <c r="E432" s="53">
        <v>90000</v>
      </c>
      <c r="F432" s="120"/>
      <c r="G432" s="94" t="s">
        <v>1221</v>
      </c>
      <c r="H432" s="9"/>
      <c r="I432" s="56"/>
      <c r="J432" s="72"/>
    </row>
    <row r="433" spans="1:10" ht="19.7" customHeight="1" x14ac:dyDescent="0.15">
      <c r="A433" s="316"/>
      <c r="B433" s="153"/>
      <c r="C433" s="6" t="s">
        <v>939</v>
      </c>
      <c r="D433" s="53">
        <v>120000</v>
      </c>
      <c r="E433" s="53">
        <v>120000</v>
      </c>
      <c r="F433" s="120"/>
      <c r="G433" s="94" t="s">
        <v>1222</v>
      </c>
      <c r="H433" s="9"/>
      <c r="I433" s="56"/>
      <c r="J433" s="72"/>
    </row>
    <row r="434" spans="1:10" ht="19.7" customHeight="1" x14ac:dyDescent="0.15">
      <c r="A434" s="316"/>
      <c r="B434" s="153"/>
      <c r="C434" s="6" t="s">
        <v>940</v>
      </c>
      <c r="D434" s="53">
        <v>234000</v>
      </c>
      <c r="E434" s="53">
        <v>234000</v>
      </c>
      <c r="F434" s="120"/>
      <c r="G434" s="94" t="s">
        <v>1223</v>
      </c>
      <c r="H434" s="9"/>
      <c r="I434" s="56"/>
      <c r="J434" s="72"/>
    </row>
    <row r="435" spans="1:10" ht="19.7" customHeight="1" x14ac:dyDescent="0.15">
      <c r="A435" s="316"/>
      <c r="B435" s="153"/>
      <c r="C435" s="6" t="s">
        <v>941</v>
      </c>
      <c r="D435" s="53">
        <v>100000</v>
      </c>
      <c r="E435" s="53">
        <v>100000</v>
      </c>
      <c r="F435" s="120"/>
      <c r="G435" s="94" t="s">
        <v>1224</v>
      </c>
      <c r="H435" s="9"/>
      <c r="I435" s="56"/>
      <c r="J435" s="72"/>
    </row>
    <row r="436" spans="1:10" ht="19.7" customHeight="1" x14ac:dyDescent="0.15">
      <c r="A436" s="316"/>
      <c r="B436" s="153"/>
      <c r="C436" s="6" t="s">
        <v>1603</v>
      </c>
      <c r="D436" s="53">
        <v>1820000</v>
      </c>
      <c r="E436" s="53">
        <v>1820000</v>
      </c>
      <c r="F436" s="120"/>
      <c r="G436" s="94" t="s">
        <v>1225</v>
      </c>
      <c r="H436" s="9"/>
      <c r="I436" s="56"/>
      <c r="J436" s="72"/>
    </row>
    <row r="437" spans="1:10" ht="19.7" customHeight="1" x14ac:dyDescent="0.15">
      <c r="A437" s="316"/>
      <c r="B437" s="153"/>
      <c r="C437" s="12" t="s">
        <v>942</v>
      </c>
      <c r="D437" s="51">
        <v>2400000</v>
      </c>
      <c r="E437" s="51">
        <v>2400000</v>
      </c>
      <c r="F437" s="120"/>
      <c r="G437" s="388" t="s">
        <v>1604</v>
      </c>
      <c r="H437" s="14"/>
      <c r="I437" s="58"/>
      <c r="J437" s="326"/>
    </row>
    <row r="438" spans="1:10" ht="19.7" customHeight="1" x14ac:dyDescent="0.15">
      <c r="A438" s="316"/>
      <c r="B438" s="153"/>
      <c r="C438" s="12" t="s">
        <v>1605</v>
      </c>
      <c r="D438" s="51">
        <v>10400000</v>
      </c>
      <c r="E438" s="51">
        <v>10400000</v>
      </c>
      <c r="F438" s="74"/>
      <c r="G438" s="388" t="s">
        <v>1226</v>
      </c>
      <c r="H438" s="14"/>
      <c r="I438" s="58"/>
      <c r="J438" s="135"/>
    </row>
    <row r="439" spans="1:10" ht="19.7" customHeight="1" thickBot="1" x14ac:dyDescent="0.2">
      <c r="A439" s="316"/>
      <c r="B439" s="316"/>
      <c r="C439" s="315" t="s">
        <v>1606</v>
      </c>
      <c r="D439" s="69">
        <v>6000000</v>
      </c>
      <c r="E439" s="69">
        <v>6000000</v>
      </c>
      <c r="F439" s="129"/>
      <c r="G439" s="389" t="s">
        <v>1227</v>
      </c>
      <c r="H439" s="16"/>
      <c r="I439" s="59"/>
      <c r="J439" s="73"/>
    </row>
    <row r="440" spans="1:10" ht="19.7" customHeight="1" x14ac:dyDescent="0.15">
      <c r="A440" s="316"/>
      <c r="B440" s="164" t="s">
        <v>1423</v>
      </c>
      <c r="C440" s="332" t="s">
        <v>1378</v>
      </c>
      <c r="D440" s="343">
        <f>SUM(D441:D457)</f>
        <v>68716000</v>
      </c>
      <c r="E440" s="343">
        <f>SUM(E441:E457)</f>
        <v>79746000</v>
      </c>
      <c r="F440" s="159"/>
      <c r="G440" s="176"/>
      <c r="H440" s="139"/>
      <c r="I440" s="140"/>
      <c r="J440" s="137"/>
    </row>
    <row r="441" spans="1:10" ht="19.7" customHeight="1" x14ac:dyDescent="0.15">
      <c r="A441" s="316"/>
      <c r="B441" s="127" t="s">
        <v>1427</v>
      </c>
      <c r="C441" s="12" t="s">
        <v>935</v>
      </c>
      <c r="D441" s="51">
        <v>5100000</v>
      </c>
      <c r="E441" s="51">
        <v>3300000</v>
      </c>
      <c r="F441" s="120"/>
      <c r="G441" s="387" t="s">
        <v>1228</v>
      </c>
      <c r="H441" s="14"/>
      <c r="I441" s="58"/>
      <c r="J441" s="74"/>
    </row>
    <row r="442" spans="1:10" ht="19.7" customHeight="1" x14ac:dyDescent="0.15">
      <c r="A442" s="316"/>
      <c r="B442" s="127" t="s">
        <v>1601</v>
      </c>
      <c r="C442" s="12" t="s">
        <v>867</v>
      </c>
      <c r="D442" s="51">
        <v>22800000</v>
      </c>
      <c r="E442" s="51">
        <v>17100000</v>
      </c>
      <c r="F442" s="120"/>
      <c r="G442" s="387" t="s">
        <v>1229</v>
      </c>
      <c r="H442" s="14"/>
      <c r="I442" s="58"/>
      <c r="J442" s="74"/>
    </row>
    <row r="443" spans="1:10" ht="19.7" customHeight="1" x14ac:dyDescent="0.15">
      <c r="A443" s="316"/>
      <c r="B443" s="127" t="s">
        <v>1607</v>
      </c>
      <c r="C443" s="12" t="s">
        <v>936</v>
      </c>
      <c r="D443" s="51">
        <v>16800000</v>
      </c>
      <c r="E443" s="51">
        <v>22500000</v>
      </c>
      <c r="F443" s="120"/>
      <c r="G443" s="387" t="s">
        <v>1230</v>
      </c>
      <c r="H443" s="14"/>
      <c r="I443" s="58"/>
      <c r="J443" s="74"/>
    </row>
    <row r="444" spans="1:10" ht="19.7" customHeight="1" x14ac:dyDescent="0.15">
      <c r="A444" s="316"/>
      <c r="B444" s="127"/>
      <c r="C444" s="12" t="s">
        <v>943</v>
      </c>
      <c r="D444" s="51">
        <v>1404000</v>
      </c>
      <c r="E444" s="51">
        <v>1404000</v>
      </c>
      <c r="F444" s="120"/>
      <c r="G444" s="387" t="s">
        <v>1231</v>
      </c>
      <c r="H444" s="14"/>
      <c r="I444" s="58"/>
      <c r="J444" s="74"/>
    </row>
    <row r="445" spans="1:10" ht="19.7" customHeight="1" x14ac:dyDescent="0.15">
      <c r="A445" s="316"/>
      <c r="B445" s="127"/>
      <c r="C445" s="12" t="s">
        <v>921</v>
      </c>
      <c r="D445" s="51">
        <v>90000</v>
      </c>
      <c r="E445" s="51">
        <v>90000</v>
      </c>
      <c r="F445" s="120"/>
      <c r="G445" s="387" t="s">
        <v>1221</v>
      </c>
      <c r="H445" s="14"/>
      <c r="I445" s="58"/>
      <c r="J445" s="74"/>
    </row>
    <row r="446" spans="1:10" ht="19.7" customHeight="1" x14ac:dyDescent="0.15">
      <c r="A446" s="316"/>
      <c r="B446" s="127"/>
      <c r="C446" s="12" t="s">
        <v>939</v>
      </c>
      <c r="D446" s="51">
        <v>120000</v>
      </c>
      <c r="E446" s="51">
        <v>120000</v>
      </c>
      <c r="F446" s="120"/>
      <c r="G446" s="387" t="s">
        <v>1222</v>
      </c>
      <c r="H446" s="14"/>
      <c r="I446" s="58"/>
      <c r="J446" s="74"/>
    </row>
    <row r="447" spans="1:10" ht="19.7" customHeight="1" x14ac:dyDescent="0.15">
      <c r="A447" s="316"/>
      <c r="B447" s="127"/>
      <c r="C447" s="12" t="s">
        <v>1608</v>
      </c>
      <c r="D447" s="51">
        <v>100000</v>
      </c>
      <c r="E447" s="51">
        <v>100000</v>
      </c>
      <c r="F447" s="120"/>
      <c r="G447" s="387" t="s">
        <v>1224</v>
      </c>
      <c r="H447" s="14"/>
      <c r="I447" s="58"/>
      <c r="J447" s="74"/>
    </row>
    <row r="448" spans="1:10" ht="19.7" customHeight="1" x14ac:dyDescent="0.15">
      <c r="A448" s="316"/>
      <c r="B448" s="127"/>
      <c r="C448" s="12" t="s">
        <v>942</v>
      </c>
      <c r="D448" s="51">
        <v>4000000</v>
      </c>
      <c r="E448" s="51">
        <v>4000000</v>
      </c>
      <c r="F448" s="120"/>
      <c r="G448" s="387" t="s">
        <v>1232</v>
      </c>
      <c r="H448" s="14"/>
      <c r="I448" s="58"/>
      <c r="J448" s="74"/>
    </row>
    <row r="449" spans="1:10" ht="19.7" customHeight="1" x14ac:dyDescent="0.15">
      <c r="A449" s="316"/>
      <c r="B449" s="127"/>
      <c r="C449" s="12" t="s">
        <v>1603</v>
      </c>
      <c r="D449" s="51">
        <v>1820000</v>
      </c>
      <c r="E449" s="51">
        <v>1950000</v>
      </c>
      <c r="F449" s="120"/>
      <c r="G449" s="387" t="s">
        <v>1233</v>
      </c>
      <c r="H449" s="14"/>
      <c r="I449" s="58"/>
      <c r="J449" s="74"/>
    </row>
    <row r="450" spans="1:10" ht="19.7" customHeight="1" x14ac:dyDescent="0.15">
      <c r="A450" s="316"/>
      <c r="B450" s="316"/>
      <c r="C450" s="12" t="s">
        <v>1609</v>
      </c>
      <c r="D450" s="51">
        <v>2700000</v>
      </c>
      <c r="E450" s="51">
        <v>3300000</v>
      </c>
      <c r="F450" s="120"/>
      <c r="G450" s="387" t="s">
        <v>1234</v>
      </c>
      <c r="H450" s="14"/>
      <c r="I450" s="58"/>
      <c r="J450" s="74"/>
    </row>
    <row r="451" spans="1:10" ht="19.7" customHeight="1" x14ac:dyDescent="0.15">
      <c r="A451" s="316"/>
      <c r="B451" s="316"/>
      <c r="C451" s="12" t="s">
        <v>1610</v>
      </c>
      <c r="D451" s="51">
        <v>3402000</v>
      </c>
      <c r="E451" s="51">
        <v>5472000</v>
      </c>
      <c r="F451" s="120"/>
      <c r="G451" s="387" t="s">
        <v>1235</v>
      </c>
      <c r="H451" s="14"/>
      <c r="I451" s="58"/>
      <c r="J451" s="344"/>
    </row>
    <row r="452" spans="1:10" ht="19.7" customHeight="1" x14ac:dyDescent="0.15">
      <c r="A452" s="316"/>
      <c r="B452" s="316"/>
      <c r="C452" s="12" t="s">
        <v>944</v>
      </c>
      <c r="D452" s="51">
        <v>810000</v>
      </c>
      <c r="E452" s="51">
        <v>810000</v>
      </c>
      <c r="F452" s="120"/>
      <c r="G452" s="387" t="s">
        <v>1611</v>
      </c>
      <c r="H452" s="14"/>
      <c r="I452" s="58"/>
      <c r="J452" s="326"/>
    </row>
    <row r="453" spans="1:10" ht="19.7" customHeight="1" x14ac:dyDescent="0.15">
      <c r="A453" s="316"/>
      <c r="B453" s="316"/>
      <c r="C453" s="12" t="s">
        <v>1591</v>
      </c>
      <c r="D453" s="51">
        <v>1200000</v>
      </c>
      <c r="E453" s="51">
        <v>1700000</v>
      </c>
      <c r="F453" s="120"/>
      <c r="G453" s="387" t="s">
        <v>1236</v>
      </c>
      <c r="H453" s="14"/>
      <c r="I453" s="58"/>
      <c r="J453" s="326"/>
    </row>
    <row r="454" spans="1:10" ht="19.7" customHeight="1" x14ac:dyDescent="0.15">
      <c r="A454" s="316"/>
      <c r="B454" s="316"/>
      <c r="C454" s="12" t="s">
        <v>1612</v>
      </c>
      <c r="D454" s="51">
        <v>1200000</v>
      </c>
      <c r="E454" s="51">
        <v>1500000</v>
      </c>
      <c r="F454" s="74"/>
      <c r="G454" s="387" t="s">
        <v>1237</v>
      </c>
      <c r="H454" s="14"/>
      <c r="I454" s="58"/>
      <c r="J454" s="74"/>
    </row>
    <row r="455" spans="1:10" ht="19.7" customHeight="1" x14ac:dyDescent="0.15">
      <c r="A455" s="316"/>
      <c r="B455" s="316"/>
      <c r="C455" s="12" t="s">
        <v>1606</v>
      </c>
      <c r="D455" s="51">
        <v>6000000</v>
      </c>
      <c r="E455" s="51">
        <v>6000000</v>
      </c>
      <c r="F455" s="74"/>
      <c r="G455" s="387" t="s">
        <v>1227</v>
      </c>
      <c r="H455" s="14"/>
      <c r="I455" s="58"/>
      <c r="J455" s="74"/>
    </row>
    <row r="456" spans="1:10" ht="19.7" customHeight="1" x14ac:dyDescent="0.15">
      <c r="A456" s="316"/>
      <c r="B456" s="316"/>
      <c r="C456" s="12" t="s">
        <v>940</v>
      </c>
      <c r="D456" s="51">
        <v>1170000</v>
      </c>
      <c r="E456" s="51"/>
      <c r="F456" s="120"/>
      <c r="G456" s="99"/>
      <c r="H456" s="99"/>
      <c r="I456" s="100"/>
      <c r="J456" s="74"/>
    </row>
    <row r="457" spans="1:10" ht="19.7" customHeight="1" thickBot="1" x14ac:dyDescent="0.2">
      <c r="A457" s="316"/>
      <c r="B457" s="316"/>
      <c r="C457" s="316" t="s">
        <v>1605</v>
      </c>
      <c r="D457" s="26"/>
      <c r="E457" s="26">
        <v>10400000</v>
      </c>
      <c r="F457" s="129"/>
      <c r="G457" s="10" t="s">
        <v>1226</v>
      </c>
      <c r="H457" s="11"/>
      <c r="I457" s="57"/>
      <c r="J457" s="75"/>
    </row>
    <row r="458" spans="1:10" ht="19.7" customHeight="1" x14ac:dyDescent="0.15">
      <c r="A458" s="316"/>
      <c r="B458" s="145" t="s">
        <v>1423</v>
      </c>
      <c r="C458" s="329" t="s">
        <v>1378</v>
      </c>
      <c r="D458" s="343">
        <f>SUM(D459:D462)</f>
        <v>31117000</v>
      </c>
      <c r="E458" s="343">
        <f>SUM(E459:E462)</f>
        <v>30937896</v>
      </c>
      <c r="F458" s="136"/>
      <c r="G458" s="176"/>
      <c r="H458" s="139"/>
      <c r="I458" s="140"/>
      <c r="J458" s="184"/>
    </row>
    <row r="459" spans="1:10" ht="19.7" customHeight="1" x14ac:dyDescent="0.15">
      <c r="A459" s="316"/>
      <c r="B459" s="316" t="s">
        <v>1427</v>
      </c>
      <c r="C459" s="54" t="s">
        <v>141</v>
      </c>
      <c r="D459" s="53">
        <v>16257000</v>
      </c>
      <c r="E459" s="53">
        <v>16257000</v>
      </c>
      <c r="F459" s="53"/>
      <c r="G459" s="8" t="s">
        <v>1238</v>
      </c>
      <c r="H459" s="9"/>
      <c r="I459" s="56"/>
      <c r="J459" s="134"/>
    </row>
    <row r="460" spans="1:10" ht="19.7" customHeight="1" x14ac:dyDescent="0.15">
      <c r="A460" s="316"/>
      <c r="B460" s="316" t="s">
        <v>1547</v>
      </c>
      <c r="C460" s="54" t="s">
        <v>945</v>
      </c>
      <c r="D460" s="53">
        <v>13860000</v>
      </c>
      <c r="E460" s="53">
        <v>13857280</v>
      </c>
      <c r="F460" s="53"/>
      <c r="G460" s="8" t="s">
        <v>1613</v>
      </c>
      <c r="H460" s="9"/>
      <c r="I460" s="56"/>
      <c r="J460" s="134"/>
    </row>
    <row r="461" spans="1:10" ht="19.7" customHeight="1" x14ac:dyDescent="0.15">
      <c r="A461" s="316"/>
      <c r="B461" s="316" t="s">
        <v>1549</v>
      </c>
      <c r="C461" s="54" t="s">
        <v>1614</v>
      </c>
      <c r="D461" s="53">
        <v>1000000</v>
      </c>
      <c r="E461" s="53">
        <v>778800</v>
      </c>
      <c r="F461" s="53"/>
      <c r="G461" s="8" t="s">
        <v>1239</v>
      </c>
      <c r="H461" s="9"/>
      <c r="I461" s="56"/>
      <c r="J461" s="134"/>
    </row>
    <row r="462" spans="1:10" ht="19.7" customHeight="1" thickBot="1" x14ac:dyDescent="0.2">
      <c r="A462" s="316"/>
      <c r="B462" s="316"/>
      <c r="C462" s="101" t="s">
        <v>1441</v>
      </c>
      <c r="D462" s="26"/>
      <c r="E462" s="26">
        <v>44816</v>
      </c>
      <c r="F462" s="26"/>
      <c r="G462" s="10" t="s">
        <v>1572</v>
      </c>
      <c r="H462" s="11"/>
      <c r="I462" s="57"/>
      <c r="J462" s="133"/>
    </row>
    <row r="463" spans="1:10" ht="19.7" customHeight="1" x14ac:dyDescent="0.15">
      <c r="A463" s="316"/>
      <c r="B463" s="145" t="s">
        <v>1615</v>
      </c>
      <c r="C463" s="329" t="s">
        <v>1378</v>
      </c>
      <c r="D463" s="343">
        <f>SUM(D464:D483)</f>
        <v>83353000</v>
      </c>
      <c r="E463" s="343">
        <f>SUM(E464:E483)</f>
        <v>82883000</v>
      </c>
      <c r="F463" s="136"/>
      <c r="G463" s="176"/>
      <c r="H463" s="139"/>
      <c r="I463" s="140"/>
      <c r="J463" s="184"/>
    </row>
    <row r="464" spans="1:10" ht="19.7" customHeight="1" x14ac:dyDescent="0.15">
      <c r="A464" s="316"/>
      <c r="B464" s="316" t="s">
        <v>1616</v>
      </c>
      <c r="C464" s="54" t="s">
        <v>935</v>
      </c>
      <c r="D464" s="53">
        <v>8000000</v>
      </c>
      <c r="E464" s="53">
        <v>6400000</v>
      </c>
      <c r="F464" s="53"/>
      <c r="G464" s="8" t="s">
        <v>1240</v>
      </c>
      <c r="H464" s="9"/>
      <c r="I464" s="56"/>
      <c r="J464" s="134"/>
    </row>
    <row r="465" spans="1:10" ht="19.7" customHeight="1" x14ac:dyDescent="0.15">
      <c r="A465" s="316"/>
      <c r="B465" s="316" t="s">
        <v>1617</v>
      </c>
      <c r="C465" s="54" t="s">
        <v>867</v>
      </c>
      <c r="D465" s="53">
        <v>13376000</v>
      </c>
      <c r="E465" s="53">
        <v>13376000</v>
      </c>
      <c r="F465" s="53"/>
      <c r="G465" s="8" t="s">
        <v>1241</v>
      </c>
      <c r="H465" s="9"/>
      <c r="I465" s="56"/>
      <c r="J465" s="134"/>
    </row>
    <row r="466" spans="1:10" ht="19.7" customHeight="1" x14ac:dyDescent="0.15">
      <c r="A466" s="316"/>
      <c r="B466" s="316" t="s">
        <v>1618</v>
      </c>
      <c r="C466" s="54" t="s">
        <v>936</v>
      </c>
      <c r="D466" s="53">
        <v>14720000</v>
      </c>
      <c r="E466" s="53">
        <v>14720000</v>
      </c>
      <c r="F466" s="53"/>
      <c r="G466" s="8" t="s">
        <v>1242</v>
      </c>
      <c r="H466" s="9"/>
      <c r="I466" s="56"/>
      <c r="J466" s="134"/>
    </row>
    <row r="467" spans="1:10" ht="19.7" customHeight="1" x14ac:dyDescent="0.15">
      <c r="A467" s="316"/>
      <c r="B467" s="316"/>
      <c r="C467" s="54" t="s">
        <v>943</v>
      </c>
      <c r="D467" s="53">
        <v>2340000</v>
      </c>
      <c r="E467" s="53">
        <v>2340000</v>
      </c>
      <c r="F467" s="53"/>
      <c r="G467" s="8" t="s">
        <v>1243</v>
      </c>
      <c r="H467" s="9"/>
      <c r="I467" s="56"/>
      <c r="J467" s="134"/>
    </row>
    <row r="468" spans="1:10" ht="19.7" customHeight="1" x14ac:dyDescent="0.15">
      <c r="A468" s="316"/>
      <c r="B468" s="316"/>
      <c r="C468" s="54" t="s">
        <v>940</v>
      </c>
      <c r="D468" s="53">
        <v>620000</v>
      </c>
      <c r="E468" s="53">
        <v>620000</v>
      </c>
      <c r="F468" s="53"/>
      <c r="G468" s="8" t="s">
        <v>1244</v>
      </c>
      <c r="H468" s="9"/>
      <c r="I468" s="56"/>
      <c r="J468" s="134"/>
    </row>
    <row r="469" spans="1:10" ht="19.7" customHeight="1" x14ac:dyDescent="0.15">
      <c r="A469" s="316"/>
      <c r="B469" s="316"/>
      <c r="C469" s="54" t="s">
        <v>892</v>
      </c>
      <c r="D469" s="53">
        <v>1240000</v>
      </c>
      <c r="E469" s="53">
        <v>1240000</v>
      </c>
      <c r="F469" s="53"/>
      <c r="G469" s="8" t="s">
        <v>1245</v>
      </c>
      <c r="H469" s="9"/>
      <c r="I469" s="56"/>
      <c r="J469" s="134"/>
    </row>
    <row r="470" spans="1:10" ht="19.7" customHeight="1" x14ac:dyDescent="0.15">
      <c r="A470" s="316"/>
      <c r="B470" s="316"/>
      <c r="C470" s="54" t="s">
        <v>921</v>
      </c>
      <c r="D470" s="53">
        <v>155000</v>
      </c>
      <c r="E470" s="53">
        <v>155000</v>
      </c>
      <c r="F470" s="53"/>
      <c r="G470" s="8" t="s">
        <v>1246</v>
      </c>
      <c r="H470" s="9"/>
      <c r="I470" s="56"/>
      <c r="J470" s="134"/>
    </row>
    <row r="471" spans="1:10" ht="19.7" customHeight="1" x14ac:dyDescent="0.15">
      <c r="A471" s="316"/>
      <c r="B471" s="316"/>
      <c r="C471" s="6" t="s">
        <v>1619</v>
      </c>
      <c r="D471" s="51">
        <v>10000000</v>
      </c>
      <c r="E471" s="53">
        <v>10000000</v>
      </c>
      <c r="F471" s="53"/>
      <c r="G471" s="8" t="s">
        <v>1247</v>
      </c>
      <c r="H471" s="9"/>
      <c r="I471" s="56"/>
      <c r="J471" s="134"/>
    </row>
    <row r="472" spans="1:10" ht="19.7" customHeight="1" x14ac:dyDescent="0.15">
      <c r="A472" s="316"/>
      <c r="B472" s="316"/>
      <c r="C472" s="54" t="s">
        <v>939</v>
      </c>
      <c r="D472" s="53">
        <v>150000</v>
      </c>
      <c r="E472" s="53">
        <v>150000</v>
      </c>
      <c r="F472" s="53"/>
      <c r="G472" s="8" t="s">
        <v>1248</v>
      </c>
      <c r="H472" s="9"/>
      <c r="I472" s="56"/>
      <c r="J472" s="134"/>
    </row>
    <row r="473" spans="1:10" ht="19.7" customHeight="1" x14ac:dyDescent="0.15">
      <c r="A473" s="316"/>
      <c r="B473" s="316"/>
      <c r="C473" s="54" t="s">
        <v>1608</v>
      </c>
      <c r="D473" s="53">
        <v>200000</v>
      </c>
      <c r="E473" s="53">
        <v>200000</v>
      </c>
      <c r="F473" s="53"/>
      <c r="G473" s="8" t="s">
        <v>1249</v>
      </c>
      <c r="H473" s="9"/>
      <c r="I473" s="56"/>
      <c r="J473" s="134"/>
    </row>
    <row r="474" spans="1:10" ht="19.7" customHeight="1" x14ac:dyDescent="0.15">
      <c r="A474" s="316"/>
      <c r="B474" s="316"/>
      <c r="C474" s="54" t="s">
        <v>942</v>
      </c>
      <c r="D474" s="53">
        <v>2400000</v>
      </c>
      <c r="E474" s="53">
        <v>2400000</v>
      </c>
      <c r="F474" s="53"/>
      <c r="G474" s="8" t="s">
        <v>1250</v>
      </c>
      <c r="H474" s="9"/>
      <c r="I474" s="56"/>
      <c r="J474" s="134"/>
    </row>
    <row r="475" spans="1:10" ht="19.7" customHeight="1" x14ac:dyDescent="0.15">
      <c r="A475" s="316"/>
      <c r="B475" s="316"/>
      <c r="C475" s="54" t="s">
        <v>1603</v>
      </c>
      <c r="D475" s="53">
        <v>1352000</v>
      </c>
      <c r="E475" s="53">
        <v>1352000</v>
      </c>
      <c r="F475" s="53"/>
      <c r="G475" s="8" t="s">
        <v>1251</v>
      </c>
      <c r="H475" s="9"/>
      <c r="I475" s="56"/>
      <c r="J475" s="134"/>
    </row>
    <row r="476" spans="1:10" ht="19.7" customHeight="1" x14ac:dyDescent="0.15">
      <c r="A476" s="316"/>
      <c r="B476" s="316"/>
      <c r="C476" s="54" t="s">
        <v>1620</v>
      </c>
      <c r="D476" s="53">
        <v>2400000</v>
      </c>
      <c r="E476" s="53">
        <v>2160000</v>
      </c>
      <c r="F476" s="53"/>
      <c r="G476" s="8" t="s">
        <v>1252</v>
      </c>
      <c r="H476" s="9"/>
      <c r="I476" s="56"/>
      <c r="J476" s="134"/>
    </row>
    <row r="477" spans="1:10" ht="19.7" customHeight="1" x14ac:dyDescent="0.15">
      <c r="A477" s="316"/>
      <c r="B477" s="316"/>
      <c r="C477" s="54" t="s">
        <v>1610</v>
      </c>
      <c r="D477" s="53">
        <v>2700000</v>
      </c>
      <c r="E477" s="53">
        <v>2430000</v>
      </c>
      <c r="F477" s="53"/>
      <c r="G477" s="8" t="s">
        <v>1253</v>
      </c>
      <c r="H477" s="9"/>
      <c r="I477" s="56"/>
      <c r="J477" s="134"/>
    </row>
    <row r="478" spans="1:10" ht="19.7" customHeight="1" x14ac:dyDescent="0.15">
      <c r="A478" s="316"/>
      <c r="B478" s="316"/>
      <c r="C478" s="54" t="s">
        <v>946</v>
      </c>
      <c r="D478" s="53">
        <v>200000</v>
      </c>
      <c r="E478" s="53">
        <v>200000</v>
      </c>
      <c r="F478" s="53"/>
      <c r="G478" s="8" t="s">
        <v>1254</v>
      </c>
      <c r="H478" s="9"/>
      <c r="I478" s="56"/>
      <c r="J478" s="134"/>
    </row>
    <row r="479" spans="1:10" ht="19.7" customHeight="1" x14ac:dyDescent="0.15">
      <c r="A479" s="316"/>
      <c r="B479" s="316"/>
      <c r="C479" s="54" t="s">
        <v>1621</v>
      </c>
      <c r="D479" s="53">
        <v>1000000</v>
      </c>
      <c r="E479" s="53">
        <v>1000000</v>
      </c>
      <c r="F479" s="53"/>
      <c r="G479" s="8" t="s">
        <v>1622</v>
      </c>
      <c r="H479" s="9"/>
      <c r="I479" s="56"/>
      <c r="J479" s="134"/>
    </row>
    <row r="480" spans="1:10" ht="19.7" customHeight="1" x14ac:dyDescent="0.15">
      <c r="A480" s="316"/>
      <c r="B480" s="316"/>
      <c r="C480" s="54" t="s">
        <v>1623</v>
      </c>
      <c r="D480" s="53"/>
      <c r="E480" s="53">
        <v>1000000</v>
      </c>
      <c r="F480" s="53"/>
      <c r="G480" s="8" t="s">
        <v>1255</v>
      </c>
      <c r="H480" s="9"/>
      <c r="I480" s="56"/>
      <c r="J480" s="134"/>
    </row>
    <row r="481" spans="1:10" ht="19.7" customHeight="1" x14ac:dyDescent="0.15">
      <c r="A481" s="316"/>
      <c r="B481" s="316"/>
      <c r="C481" s="54" t="s">
        <v>1624</v>
      </c>
      <c r="D481" s="53"/>
      <c r="E481" s="53">
        <v>640000</v>
      </c>
      <c r="F481" s="53"/>
      <c r="G481" s="8" t="s">
        <v>1256</v>
      </c>
      <c r="H481" s="9"/>
      <c r="I481" s="56"/>
      <c r="J481" s="134"/>
    </row>
    <row r="482" spans="1:10" ht="19.7" customHeight="1" x14ac:dyDescent="0.15">
      <c r="A482" s="316"/>
      <c r="B482" s="316"/>
      <c r="C482" s="54" t="s">
        <v>947</v>
      </c>
      <c r="D482" s="53">
        <v>4500000</v>
      </c>
      <c r="E482" s="53">
        <v>4500000</v>
      </c>
      <c r="F482" s="53"/>
      <c r="G482" s="8" t="s">
        <v>1257</v>
      </c>
      <c r="H482" s="9"/>
      <c r="I482" s="56"/>
      <c r="J482" s="134"/>
    </row>
    <row r="483" spans="1:10" ht="19.7" customHeight="1" thickBot="1" x14ac:dyDescent="0.2">
      <c r="A483" s="316"/>
      <c r="B483" s="357"/>
      <c r="C483" s="124" t="s">
        <v>948</v>
      </c>
      <c r="D483" s="141">
        <v>18000000</v>
      </c>
      <c r="E483" s="390">
        <v>18000000</v>
      </c>
      <c r="F483" s="157"/>
      <c r="G483" s="142" t="s">
        <v>1258</v>
      </c>
      <c r="H483" s="143"/>
      <c r="I483" s="144"/>
      <c r="J483" s="161"/>
    </row>
    <row r="484" spans="1:10" ht="19.7" customHeight="1" x14ac:dyDescent="0.15">
      <c r="A484" s="316"/>
      <c r="B484" s="316" t="s">
        <v>1615</v>
      </c>
      <c r="C484" s="355" t="s">
        <v>1378</v>
      </c>
      <c r="D484" s="324">
        <f>SUM(D485:D488)</f>
        <v>46313300</v>
      </c>
      <c r="E484" s="324">
        <f>SUM(E485:E488)</f>
        <v>50431782</v>
      </c>
      <c r="F484" s="156"/>
      <c r="G484" s="314"/>
      <c r="H484" s="365"/>
      <c r="I484" s="65"/>
      <c r="J484" s="134"/>
    </row>
    <row r="485" spans="1:10" ht="19.7" customHeight="1" x14ac:dyDescent="0.15">
      <c r="A485" s="316"/>
      <c r="B485" s="316" t="s">
        <v>1616</v>
      </c>
      <c r="C485" s="12" t="s">
        <v>141</v>
      </c>
      <c r="D485" s="93">
        <v>25985300</v>
      </c>
      <c r="E485" s="131">
        <v>18707000</v>
      </c>
      <c r="F485" s="120"/>
      <c r="G485" s="387" t="s">
        <v>1259</v>
      </c>
      <c r="H485" s="14"/>
      <c r="I485" s="58"/>
      <c r="J485" s="135"/>
    </row>
    <row r="486" spans="1:10" ht="19.7" customHeight="1" x14ac:dyDescent="0.15">
      <c r="A486" s="316"/>
      <c r="B486" s="316" t="s">
        <v>1547</v>
      </c>
      <c r="C486" s="12" t="s">
        <v>949</v>
      </c>
      <c r="D486" s="93">
        <v>18634000</v>
      </c>
      <c r="E486" s="356">
        <v>29038947</v>
      </c>
      <c r="F486" s="120"/>
      <c r="G486" s="107" t="s">
        <v>1260</v>
      </c>
      <c r="H486" s="19"/>
      <c r="I486" s="106"/>
      <c r="J486" s="135"/>
    </row>
    <row r="487" spans="1:10" ht="19.7" customHeight="1" x14ac:dyDescent="0.15">
      <c r="A487" s="316"/>
      <c r="B487" s="146" t="s">
        <v>1549</v>
      </c>
      <c r="C487" s="12" t="s">
        <v>870</v>
      </c>
      <c r="D487" s="93">
        <v>1694000</v>
      </c>
      <c r="E487" s="356">
        <v>2640000</v>
      </c>
      <c r="F487" s="120"/>
      <c r="G487" s="107" t="s">
        <v>1261</v>
      </c>
      <c r="H487" s="19"/>
      <c r="I487" s="106"/>
      <c r="J487" s="135"/>
    </row>
    <row r="488" spans="1:10" ht="19.7" customHeight="1" thickBot="1" x14ac:dyDescent="0.2">
      <c r="A488" s="316"/>
      <c r="B488" s="357"/>
      <c r="C488" s="124" t="s">
        <v>1441</v>
      </c>
      <c r="D488" s="310"/>
      <c r="E488" s="188">
        <v>45835</v>
      </c>
      <c r="F488" s="157"/>
      <c r="G488" s="189" t="s">
        <v>1572</v>
      </c>
      <c r="H488" s="160"/>
      <c r="I488" s="190"/>
      <c r="J488" s="161"/>
    </row>
    <row r="489" spans="1:10" ht="19.7" customHeight="1" x14ac:dyDescent="0.15">
      <c r="A489" s="316"/>
      <c r="B489" s="363" t="s">
        <v>1625</v>
      </c>
      <c r="C489" s="332" t="s">
        <v>1562</v>
      </c>
      <c r="D489" s="330">
        <f>SUM(D490:D491)</f>
        <v>0</v>
      </c>
      <c r="E489" s="330">
        <f>SUM(E490:E491)</f>
        <v>31068200</v>
      </c>
      <c r="F489" s="159"/>
      <c r="G489" s="182"/>
      <c r="H489" s="178"/>
      <c r="I489" s="183"/>
      <c r="J489" s="184"/>
    </row>
    <row r="490" spans="1:10" ht="19.7" customHeight="1" x14ac:dyDescent="0.15">
      <c r="A490" s="316"/>
      <c r="B490" s="146" t="s">
        <v>1626</v>
      </c>
      <c r="C490" s="12" t="s">
        <v>1627</v>
      </c>
      <c r="D490" s="93"/>
      <c r="E490" s="356">
        <v>29700000</v>
      </c>
      <c r="F490" s="120"/>
      <c r="G490" s="107" t="s">
        <v>1628</v>
      </c>
      <c r="H490" s="19"/>
      <c r="I490" s="106"/>
      <c r="J490" s="135"/>
    </row>
    <row r="491" spans="1:10" ht="19.7" customHeight="1" thickBot="1" x14ac:dyDescent="0.2">
      <c r="A491" s="316"/>
      <c r="B491" s="146" t="s">
        <v>1629</v>
      </c>
      <c r="C491" s="12" t="s">
        <v>1563</v>
      </c>
      <c r="D491" s="93"/>
      <c r="E491" s="356">
        <v>1368200</v>
      </c>
      <c r="F491" s="120"/>
      <c r="G491" s="107" t="s">
        <v>1630</v>
      </c>
      <c r="H491" s="19"/>
      <c r="I491" s="106"/>
      <c r="J491" s="135"/>
    </row>
    <row r="492" spans="1:10" ht="19.7" customHeight="1" thickBot="1" x14ac:dyDescent="0.2">
      <c r="A492" s="145" t="s">
        <v>1632</v>
      </c>
      <c r="B492" s="358"/>
      <c r="C492" s="34" t="s">
        <v>1444</v>
      </c>
      <c r="D492" s="322">
        <f>D493+D500+D508</f>
        <v>20508000</v>
      </c>
      <c r="E492" s="322">
        <f>E493+E500+E508</f>
        <v>5531400</v>
      </c>
      <c r="F492" s="158"/>
      <c r="G492" s="250"/>
      <c r="H492" s="359"/>
      <c r="I492" s="360"/>
      <c r="J492" s="361"/>
    </row>
    <row r="493" spans="1:10" ht="19.7" customHeight="1" x14ac:dyDescent="0.15">
      <c r="A493" s="316"/>
      <c r="B493" s="146" t="s">
        <v>1633</v>
      </c>
      <c r="C493" s="323" t="s">
        <v>1378</v>
      </c>
      <c r="D493" s="324">
        <f>SUM(D494:D499)</f>
        <v>8272000</v>
      </c>
      <c r="E493" s="324">
        <f>SUM(E494:E499)</f>
        <v>2421000</v>
      </c>
      <c r="F493" s="128"/>
      <c r="G493" s="314"/>
      <c r="H493" s="365"/>
      <c r="I493" s="65"/>
      <c r="J493" s="134"/>
    </row>
    <row r="494" spans="1:10" ht="19.7" customHeight="1" x14ac:dyDescent="0.15">
      <c r="A494" s="316"/>
      <c r="B494" s="146"/>
      <c r="C494" s="6" t="s">
        <v>895</v>
      </c>
      <c r="D494" s="88">
        <v>4000000</v>
      </c>
      <c r="E494" s="148">
        <v>1200000</v>
      </c>
      <c r="F494" s="128"/>
      <c r="G494" s="314" t="s">
        <v>1634</v>
      </c>
      <c r="H494" s="365"/>
      <c r="I494" s="65"/>
      <c r="J494" s="134"/>
    </row>
    <row r="495" spans="1:10" ht="19.7" customHeight="1" x14ac:dyDescent="0.15">
      <c r="A495" s="316"/>
      <c r="B495" s="146"/>
      <c r="C495" s="6" t="s">
        <v>868</v>
      </c>
      <c r="D495" s="88">
        <v>1500000</v>
      </c>
      <c r="E495" s="148"/>
      <c r="F495" s="128"/>
      <c r="G495" s="314"/>
      <c r="H495" s="365"/>
      <c r="I495" s="65"/>
      <c r="J495" s="134"/>
    </row>
    <row r="496" spans="1:10" ht="19.7" customHeight="1" x14ac:dyDescent="0.15">
      <c r="A496" s="316"/>
      <c r="B496" s="146"/>
      <c r="C496" s="6" t="s">
        <v>896</v>
      </c>
      <c r="D496" s="88">
        <v>200000</v>
      </c>
      <c r="E496" s="148"/>
      <c r="F496" s="128"/>
      <c r="G496" s="314"/>
      <c r="H496" s="365"/>
      <c r="I496" s="65"/>
      <c r="J496" s="134"/>
    </row>
    <row r="497" spans="1:10" ht="19.7" customHeight="1" x14ac:dyDescent="0.15">
      <c r="A497" s="316"/>
      <c r="B497" s="146"/>
      <c r="C497" s="6" t="s">
        <v>875</v>
      </c>
      <c r="D497" s="88">
        <v>132000</v>
      </c>
      <c r="E497" s="148">
        <v>66000</v>
      </c>
      <c r="F497" s="128"/>
      <c r="G497" s="314" t="s">
        <v>1635</v>
      </c>
      <c r="H497" s="365"/>
      <c r="I497" s="65"/>
      <c r="J497" s="134"/>
    </row>
    <row r="498" spans="1:10" ht="19.7" customHeight="1" x14ac:dyDescent="0.15">
      <c r="A498" s="316"/>
      <c r="B498" s="146"/>
      <c r="C498" s="6" t="s">
        <v>950</v>
      </c>
      <c r="D498" s="93">
        <v>440000</v>
      </c>
      <c r="E498" s="356">
        <v>495000</v>
      </c>
      <c r="F498" s="120"/>
      <c r="G498" s="107" t="s">
        <v>1636</v>
      </c>
      <c r="H498" s="19"/>
      <c r="I498" s="106"/>
      <c r="J498" s="135"/>
    </row>
    <row r="499" spans="1:10" ht="19.7" customHeight="1" thickBot="1" x14ac:dyDescent="0.2">
      <c r="A499" s="316"/>
      <c r="B499" s="357"/>
      <c r="C499" s="124" t="s">
        <v>892</v>
      </c>
      <c r="D499" s="310">
        <v>2000000</v>
      </c>
      <c r="E499" s="188">
        <v>660000</v>
      </c>
      <c r="F499" s="157"/>
      <c r="G499" s="189" t="s">
        <v>1637</v>
      </c>
      <c r="H499" s="160"/>
      <c r="I499" s="190"/>
      <c r="J499" s="161"/>
    </row>
    <row r="500" spans="1:10" ht="19.7" customHeight="1" x14ac:dyDescent="0.15">
      <c r="A500" s="316"/>
      <c r="B500" s="146" t="s">
        <v>1638</v>
      </c>
      <c r="C500" s="323" t="s">
        <v>1378</v>
      </c>
      <c r="D500" s="324">
        <f>SUM(D501:D507)</f>
        <v>3536000</v>
      </c>
      <c r="E500" s="324">
        <f>SUM(E501:E507)</f>
        <v>3110400</v>
      </c>
      <c r="F500" s="128"/>
      <c r="G500" s="314"/>
      <c r="H500" s="365"/>
      <c r="I500" s="65"/>
      <c r="J500" s="134"/>
    </row>
    <row r="501" spans="1:10" ht="19.7" customHeight="1" x14ac:dyDescent="0.15">
      <c r="A501" s="316"/>
      <c r="B501" s="146" t="s">
        <v>1639</v>
      </c>
      <c r="C501" s="12" t="s">
        <v>895</v>
      </c>
      <c r="D501" s="93">
        <v>1400000</v>
      </c>
      <c r="E501" s="356">
        <v>1300000</v>
      </c>
      <c r="F501" s="120"/>
      <c r="G501" s="314" t="s">
        <v>1640</v>
      </c>
      <c r="H501" s="19"/>
      <c r="I501" s="106"/>
      <c r="J501" s="135"/>
    </row>
    <row r="502" spans="1:10" ht="19.7" customHeight="1" x14ac:dyDescent="0.15">
      <c r="A502" s="316"/>
      <c r="B502" s="146"/>
      <c r="C502" s="12" t="s">
        <v>868</v>
      </c>
      <c r="D502" s="93">
        <v>600000</v>
      </c>
      <c r="E502" s="356"/>
      <c r="F502" s="120"/>
      <c r="G502" s="107" t="s">
        <v>1641</v>
      </c>
      <c r="H502" s="19"/>
      <c r="I502" s="106"/>
      <c r="J502" s="135"/>
    </row>
    <row r="503" spans="1:10" ht="19.7" customHeight="1" x14ac:dyDescent="0.15">
      <c r="A503" s="316"/>
      <c r="B503" s="146"/>
      <c r="C503" s="12" t="s">
        <v>896</v>
      </c>
      <c r="D503" s="93">
        <v>50000</v>
      </c>
      <c r="E503" s="356">
        <v>30000</v>
      </c>
      <c r="F503" s="120"/>
      <c r="G503" s="107" t="s">
        <v>1642</v>
      </c>
      <c r="H503" s="19"/>
      <c r="I503" s="106"/>
      <c r="J503" s="135"/>
    </row>
    <row r="504" spans="1:10" ht="19.7" customHeight="1" x14ac:dyDescent="0.15">
      <c r="A504" s="316"/>
      <c r="B504" s="146"/>
      <c r="C504" s="12" t="s">
        <v>875</v>
      </c>
      <c r="D504" s="93">
        <v>66000</v>
      </c>
      <c r="E504" s="356">
        <v>66000</v>
      </c>
      <c r="F504" s="120"/>
      <c r="G504" s="314" t="s">
        <v>1635</v>
      </c>
      <c r="H504" s="19"/>
      <c r="I504" s="106"/>
      <c r="J504" s="135"/>
    </row>
    <row r="505" spans="1:10" ht="19.7" customHeight="1" x14ac:dyDescent="0.15">
      <c r="A505" s="316"/>
      <c r="B505" s="146"/>
      <c r="C505" s="12" t="s">
        <v>950</v>
      </c>
      <c r="D505" s="93">
        <v>220000</v>
      </c>
      <c r="E505" s="356"/>
      <c r="F505" s="120"/>
      <c r="G505" s="107"/>
      <c r="H505" s="19"/>
      <c r="I505" s="106"/>
      <c r="J505" s="135"/>
    </row>
    <row r="506" spans="1:10" ht="19.7" customHeight="1" x14ac:dyDescent="0.15">
      <c r="A506" s="316"/>
      <c r="B506" s="146"/>
      <c r="C506" s="12" t="s">
        <v>951</v>
      </c>
      <c r="D506" s="93">
        <v>500000</v>
      </c>
      <c r="E506" s="356">
        <v>774400</v>
      </c>
      <c r="F506" s="120"/>
      <c r="G506" s="107"/>
      <c r="H506" s="19"/>
      <c r="I506" s="106"/>
      <c r="J506" s="135"/>
    </row>
    <row r="507" spans="1:10" ht="19.7" customHeight="1" thickBot="1" x14ac:dyDescent="0.2">
      <c r="A507" s="316"/>
      <c r="B507" s="146"/>
      <c r="C507" s="315" t="s">
        <v>892</v>
      </c>
      <c r="D507" s="105">
        <v>700000</v>
      </c>
      <c r="E507" s="362">
        <v>940000</v>
      </c>
      <c r="F507" s="129"/>
      <c r="G507" s="28" t="s">
        <v>1637</v>
      </c>
      <c r="H507" s="27"/>
      <c r="I507" s="103"/>
      <c r="J507" s="132"/>
    </row>
    <row r="508" spans="1:10" ht="19.7" customHeight="1" x14ac:dyDescent="0.15">
      <c r="A508" s="316"/>
      <c r="B508" s="363" t="s">
        <v>1643</v>
      </c>
      <c r="C508" s="332" t="s">
        <v>1378</v>
      </c>
      <c r="D508" s="330">
        <f>SUM(D509:D511)</f>
        <v>8700000</v>
      </c>
      <c r="E508" s="330">
        <f>SUM(E509:E511)</f>
        <v>0</v>
      </c>
      <c r="F508" s="159"/>
      <c r="G508" s="182"/>
      <c r="H508" s="178"/>
      <c r="I508" s="183"/>
      <c r="J508" s="184"/>
    </row>
    <row r="509" spans="1:10" ht="19.7" customHeight="1" x14ac:dyDescent="0.15">
      <c r="A509" s="316"/>
      <c r="B509" s="146" t="s">
        <v>1644</v>
      </c>
      <c r="C509" s="12" t="s">
        <v>952</v>
      </c>
      <c r="D509" s="93">
        <v>6000000</v>
      </c>
      <c r="E509" s="356"/>
      <c r="F509" s="120"/>
      <c r="G509" s="107"/>
      <c r="H509" s="19"/>
      <c r="I509" s="106"/>
      <c r="J509" s="135"/>
    </row>
    <row r="510" spans="1:10" ht="19.7" customHeight="1" x14ac:dyDescent="0.15">
      <c r="A510" s="316"/>
      <c r="B510" s="146"/>
      <c r="C510" s="12" t="s">
        <v>868</v>
      </c>
      <c r="D510" s="93">
        <v>2400000</v>
      </c>
      <c r="E510" s="356"/>
      <c r="F510" s="120"/>
      <c r="G510" s="107"/>
      <c r="H510" s="19"/>
      <c r="I510" s="106"/>
      <c r="J510" s="135"/>
    </row>
    <row r="511" spans="1:10" ht="19.7" customHeight="1" thickBot="1" x14ac:dyDescent="0.2">
      <c r="A511" s="317"/>
      <c r="B511" s="357"/>
      <c r="C511" s="124" t="s">
        <v>896</v>
      </c>
      <c r="D511" s="310">
        <v>300000</v>
      </c>
      <c r="E511" s="188"/>
      <c r="F511" s="157"/>
      <c r="G511" s="189"/>
      <c r="H511" s="160"/>
      <c r="I511" s="190"/>
      <c r="J511" s="161"/>
    </row>
    <row r="512" spans="1:10" ht="19.7" customHeight="1" thickBot="1" x14ac:dyDescent="0.2">
      <c r="A512" s="316" t="s">
        <v>1645</v>
      </c>
      <c r="B512" s="358"/>
      <c r="C512" s="34" t="s">
        <v>1444</v>
      </c>
      <c r="D512" s="322">
        <f>D513+D523</f>
        <v>5845000</v>
      </c>
      <c r="E512" s="322">
        <f>E513+E523</f>
        <v>4285940</v>
      </c>
      <c r="F512" s="158"/>
      <c r="G512" s="250"/>
      <c r="H512" s="359"/>
      <c r="I512" s="360"/>
      <c r="J512" s="361"/>
    </row>
    <row r="513" spans="1:10" ht="19.7" customHeight="1" x14ac:dyDescent="0.15">
      <c r="A513" s="316" t="s">
        <v>1646</v>
      </c>
      <c r="B513" s="146" t="s">
        <v>1645</v>
      </c>
      <c r="C513" s="323" t="s">
        <v>1378</v>
      </c>
      <c r="D513" s="324">
        <f>SUM(D514:D522)</f>
        <v>5845000</v>
      </c>
      <c r="E513" s="324">
        <f>SUM(E514:E522)</f>
        <v>3985940</v>
      </c>
      <c r="F513" s="128"/>
      <c r="G513" s="314"/>
      <c r="H513" s="365"/>
      <c r="I513" s="65"/>
      <c r="J513" s="134"/>
    </row>
    <row r="514" spans="1:10" ht="19.7" customHeight="1" x14ac:dyDescent="0.15">
      <c r="A514" s="316"/>
      <c r="B514" s="146" t="s">
        <v>1369</v>
      </c>
      <c r="C514" s="12" t="s">
        <v>953</v>
      </c>
      <c r="D514" s="93">
        <v>600000</v>
      </c>
      <c r="E514" s="356">
        <v>400000</v>
      </c>
      <c r="F514" s="120"/>
      <c r="G514" s="107" t="s">
        <v>1647</v>
      </c>
      <c r="H514" s="19"/>
      <c r="I514" s="106"/>
      <c r="J514" s="135"/>
    </row>
    <row r="515" spans="1:10" ht="19.7" customHeight="1" x14ac:dyDescent="0.15">
      <c r="A515" s="316"/>
      <c r="B515" s="146" t="s">
        <v>1648</v>
      </c>
      <c r="C515" s="12" t="s">
        <v>864</v>
      </c>
      <c r="D515" s="93">
        <v>240000</v>
      </c>
      <c r="E515" s="131">
        <v>120000</v>
      </c>
      <c r="F515" s="74"/>
      <c r="G515" s="107" t="s">
        <v>1649</v>
      </c>
      <c r="H515" s="19"/>
      <c r="I515" s="106"/>
      <c r="J515" s="135"/>
    </row>
    <row r="516" spans="1:10" ht="19.7" customHeight="1" x14ac:dyDescent="0.15">
      <c r="A516" s="316"/>
      <c r="B516" s="146"/>
      <c r="C516" s="12" t="s">
        <v>950</v>
      </c>
      <c r="D516" s="93">
        <v>495000</v>
      </c>
      <c r="E516" s="131">
        <v>495000</v>
      </c>
      <c r="F516" s="74"/>
      <c r="G516" s="107" t="s">
        <v>1650</v>
      </c>
      <c r="H516" s="19"/>
      <c r="I516" s="106"/>
      <c r="J516" s="135"/>
    </row>
    <row r="517" spans="1:10" ht="19.7" customHeight="1" x14ac:dyDescent="0.15">
      <c r="A517" s="316"/>
      <c r="B517" s="146"/>
      <c r="C517" s="12" t="s">
        <v>875</v>
      </c>
      <c r="D517" s="93">
        <v>110000</v>
      </c>
      <c r="E517" s="131">
        <v>66000</v>
      </c>
      <c r="F517" s="74"/>
      <c r="G517" s="107" t="s">
        <v>1651</v>
      </c>
      <c r="H517" s="19"/>
      <c r="I517" s="106"/>
      <c r="J517" s="135"/>
    </row>
    <row r="518" spans="1:10" ht="19.7" customHeight="1" x14ac:dyDescent="0.15">
      <c r="A518" s="316"/>
      <c r="B518" s="146"/>
      <c r="C518" s="12" t="s">
        <v>896</v>
      </c>
      <c r="D518" s="93">
        <v>100000</v>
      </c>
      <c r="E518" s="131"/>
      <c r="F518" s="74"/>
      <c r="G518" s="107"/>
      <c r="H518" s="19"/>
      <c r="I518" s="106"/>
      <c r="J518" s="135"/>
    </row>
    <row r="519" spans="1:10" ht="19.7" customHeight="1" x14ac:dyDescent="0.15">
      <c r="A519" s="316"/>
      <c r="B519" s="146"/>
      <c r="C519" s="12" t="s">
        <v>867</v>
      </c>
      <c r="D519" s="93">
        <v>1600000</v>
      </c>
      <c r="E519" s="131">
        <v>1880000</v>
      </c>
      <c r="F519" s="74"/>
      <c r="G519" s="107" t="s">
        <v>1652</v>
      </c>
      <c r="H519" s="19"/>
      <c r="I519" s="106"/>
      <c r="J519" s="135"/>
    </row>
    <row r="520" spans="1:10" ht="19.7" customHeight="1" x14ac:dyDescent="0.15">
      <c r="A520" s="316"/>
      <c r="B520" s="146"/>
      <c r="C520" s="12" t="s">
        <v>868</v>
      </c>
      <c r="D520" s="93">
        <v>2400000</v>
      </c>
      <c r="E520" s="131">
        <v>630940</v>
      </c>
      <c r="F520" s="74"/>
      <c r="G520" s="107" t="s">
        <v>1653</v>
      </c>
      <c r="H520" s="19"/>
      <c r="I520" s="106"/>
      <c r="J520" s="135"/>
    </row>
    <row r="521" spans="1:10" ht="19.7" customHeight="1" x14ac:dyDescent="0.15">
      <c r="A521" s="316"/>
      <c r="B521" s="146"/>
      <c r="C521" s="12" t="s">
        <v>879</v>
      </c>
      <c r="D521" s="93">
        <v>300000</v>
      </c>
      <c r="E521" s="131">
        <v>244000</v>
      </c>
      <c r="F521" s="74"/>
      <c r="G521" s="107" t="s">
        <v>1654</v>
      </c>
      <c r="H521" s="19"/>
      <c r="I521" s="106"/>
      <c r="J521" s="135"/>
    </row>
    <row r="522" spans="1:10" ht="19.7" customHeight="1" thickBot="1" x14ac:dyDescent="0.2">
      <c r="A522" s="316"/>
      <c r="B522" s="146"/>
      <c r="C522" s="315" t="s">
        <v>1655</v>
      </c>
      <c r="D522" s="105"/>
      <c r="E522" s="391">
        <v>150000</v>
      </c>
      <c r="F522" s="73"/>
      <c r="G522" s="28" t="s">
        <v>1656</v>
      </c>
      <c r="H522" s="27"/>
      <c r="I522" s="103"/>
      <c r="J522" s="132"/>
    </row>
    <row r="523" spans="1:10" ht="19.7" customHeight="1" x14ac:dyDescent="0.15">
      <c r="A523" s="316"/>
      <c r="B523" s="363" t="s">
        <v>1573</v>
      </c>
      <c r="C523" s="329" t="s">
        <v>1378</v>
      </c>
      <c r="D523" s="330">
        <f>SUM(D524:D525)</f>
        <v>0</v>
      </c>
      <c r="E523" s="330">
        <f>SUM(E524:E525)</f>
        <v>300000</v>
      </c>
      <c r="F523" s="137"/>
      <c r="G523" s="182"/>
      <c r="H523" s="178"/>
      <c r="I523" s="183"/>
      <c r="J523" s="184"/>
    </row>
    <row r="524" spans="1:10" ht="19.7" customHeight="1" x14ac:dyDescent="0.15">
      <c r="A524" s="316"/>
      <c r="B524" s="146" t="s">
        <v>1657</v>
      </c>
      <c r="C524" s="54" t="s">
        <v>1658</v>
      </c>
      <c r="D524" s="88"/>
      <c r="E524" s="149">
        <v>300000</v>
      </c>
      <c r="F524" s="74"/>
      <c r="G524" s="314" t="s">
        <v>1659</v>
      </c>
      <c r="H524" s="365"/>
      <c r="I524" s="65"/>
      <c r="J524" s="134"/>
    </row>
    <row r="525" spans="1:10" ht="19.7" customHeight="1" thickBot="1" x14ac:dyDescent="0.2">
      <c r="A525" s="316"/>
      <c r="B525" s="357"/>
      <c r="C525" s="54"/>
      <c r="D525" s="88"/>
      <c r="E525" s="149"/>
      <c r="F525" s="390"/>
      <c r="G525" s="314"/>
      <c r="H525" s="365"/>
      <c r="I525" s="65"/>
      <c r="J525" s="134"/>
    </row>
    <row r="526" spans="1:10" ht="20.100000000000001" customHeight="1" x14ac:dyDescent="0.15">
      <c r="A526" s="145" t="s">
        <v>1660</v>
      </c>
      <c r="B526" s="145" t="s">
        <v>1660</v>
      </c>
      <c r="C526" s="329" t="s">
        <v>1444</v>
      </c>
      <c r="D526" s="343">
        <f>SUM(D527:D528)</f>
        <v>58500000</v>
      </c>
      <c r="E526" s="343">
        <f>SUM(E527:E528)</f>
        <v>58500000</v>
      </c>
      <c r="F526" s="166"/>
      <c r="G526" s="182"/>
      <c r="H526" s="178"/>
      <c r="I526" s="183"/>
      <c r="J526" s="184"/>
    </row>
    <row r="527" spans="1:10" ht="20.100000000000001" customHeight="1" x14ac:dyDescent="0.15">
      <c r="A527" s="316"/>
      <c r="B527" s="316"/>
      <c r="C527" s="12" t="s">
        <v>1661</v>
      </c>
      <c r="D527" s="93">
        <v>42000000</v>
      </c>
      <c r="E527" s="131">
        <v>42000000</v>
      </c>
      <c r="F527" s="120"/>
      <c r="G527" s="107" t="s">
        <v>1662</v>
      </c>
      <c r="H527" s="19"/>
      <c r="I527" s="106"/>
      <c r="J527" s="276"/>
    </row>
    <row r="528" spans="1:10" ht="20.100000000000001" customHeight="1" thickBot="1" x14ac:dyDescent="0.2">
      <c r="A528" s="316"/>
      <c r="B528" s="316"/>
      <c r="C528" s="315" t="s">
        <v>1663</v>
      </c>
      <c r="D528" s="105">
        <v>16500000</v>
      </c>
      <c r="E528" s="391">
        <v>16500000</v>
      </c>
      <c r="F528" s="129"/>
      <c r="G528" s="28" t="s">
        <v>1664</v>
      </c>
      <c r="H528" s="27"/>
      <c r="I528" s="103"/>
      <c r="J528" s="469"/>
    </row>
    <row r="529" spans="1:10" ht="20.100000000000001" customHeight="1" thickBot="1" x14ac:dyDescent="0.2">
      <c r="A529" s="34" t="s">
        <v>1665</v>
      </c>
      <c r="B529" s="34" t="s">
        <v>1665</v>
      </c>
      <c r="C529" s="34" t="s">
        <v>1666</v>
      </c>
      <c r="D529" s="322">
        <v>49939789</v>
      </c>
      <c r="E529" s="470">
        <v>134147712</v>
      </c>
      <c r="F529" s="158"/>
      <c r="G529" s="250" t="s">
        <v>1667</v>
      </c>
      <c r="H529" s="359"/>
      <c r="I529" s="360"/>
      <c r="J529" s="471"/>
    </row>
    <row r="530" spans="1:10" ht="20.100000000000001" customHeight="1" thickBot="1" x14ac:dyDescent="0.2">
      <c r="A530" s="34"/>
      <c r="B530" s="34"/>
      <c r="C530" s="34" t="s">
        <v>1668</v>
      </c>
      <c r="D530" s="322"/>
      <c r="E530" s="470">
        <v>8354520</v>
      </c>
      <c r="F530" s="158"/>
      <c r="G530" s="250" t="s">
        <v>1669</v>
      </c>
      <c r="H530" s="359"/>
      <c r="I530" s="360"/>
      <c r="J530" s="471"/>
    </row>
    <row r="531" spans="1:10" ht="20.100000000000001" customHeight="1" thickBot="1" x14ac:dyDescent="0.2">
      <c r="A531" s="34"/>
      <c r="B531" s="34"/>
      <c r="C531" s="34" t="s">
        <v>1670</v>
      </c>
      <c r="D531" s="322"/>
      <c r="E531" s="470">
        <v>22000000</v>
      </c>
      <c r="F531" s="158"/>
      <c r="G531" s="250" t="s">
        <v>1671</v>
      </c>
      <c r="H531" s="359"/>
      <c r="I531" s="360"/>
      <c r="J531" s="471"/>
    </row>
    <row r="532" spans="1:10" ht="21" customHeight="1" thickBot="1" x14ac:dyDescent="0.2">
      <c r="A532" s="34" t="s">
        <v>1672</v>
      </c>
      <c r="B532" s="34" t="s">
        <v>1673</v>
      </c>
      <c r="C532" s="34" t="s">
        <v>1674</v>
      </c>
      <c r="D532" s="70"/>
      <c r="E532" s="70">
        <v>35565392</v>
      </c>
      <c r="F532" s="158"/>
      <c r="G532" s="35"/>
      <c r="H532" s="36"/>
      <c r="I532" s="150"/>
      <c r="J532" s="76"/>
    </row>
    <row r="533" spans="1:10" ht="21" customHeight="1" thickBot="1" x14ac:dyDescent="0.2">
      <c r="A533" s="457" t="s">
        <v>1675</v>
      </c>
      <c r="B533" s="458"/>
      <c r="C533" s="459"/>
      <c r="D533" s="70">
        <f>D5+D39+D274+D282+D346+D492+D512+D526+D529+D532</f>
        <v>2237642883</v>
      </c>
      <c r="E533" s="70">
        <f>E5+E39+E274+E282+E346+E492+E512+E526+E529+E530+E531+E532</f>
        <v>2419523688</v>
      </c>
      <c r="F533" s="76"/>
      <c r="G533" s="35"/>
      <c r="H533" s="36"/>
      <c r="I533" s="150"/>
      <c r="J533" s="76"/>
    </row>
    <row r="534" spans="1:10" ht="18" customHeight="1" x14ac:dyDescent="0.15"/>
  </sheetData>
  <mergeCells count="9">
    <mergeCell ref="G361:H361"/>
    <mergeCell ref="A533:C533"/>
    <mergeCell ref="A1:J1"/>
    <mergeCell ref="A3:C3"/>
    <mergeCell ref="D3:D4"/>
    <mergeCell ref="E3:E4"/>
    <mergeCell ref="F3:F4"/>
    <mergeCell ref="G3:I4"/>
    <mergeCell ref="J3:J4"/>
  </mergeCells>
  <phoneticPr fontId="2" type="noConversion"/>
  <pageMargins left="0.23622047244094491" right="0.27559055118110237" top="0.6692913385826772" bottom="0.43307086614173229" header="0.31496062992125984" footer="0.31496062992125984"/>
  <pageSetup paperSize="8" scale="90" orientation="portrait" verticalDpi="300" r:id="rId1"/>
  <headerFooter differentFirst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2</vt:i4>
      </vt:variant>
    </vt:vector>
  </HeadingPairs>
  <TitlesOfParts>
    <vt:vector size="8" baseType="lpstr">
      <vt:lpstr>결산총괄표</vt:lpstr>
      <vt:lpstr>결산수입</vt:lpstr>
      <vt:lpstr>결산지출</vt:lpstr>
      <vt:lpstr>2009지출세부내역</vt:lpstr>
      <vt:lpstr>수입결산서</vt:lpstr>
      <vt:lpstr>지출결산서</vt:lpstr>
      <vt:lpstr>'2009지출세부내역'!Print_Titles</vt:lpstr>
      <vt:lpstr>지출결산서!Print_Titles</vt:lpstr>
    </vt:vector>
  </TitlesOfParts>
  <Company>WinXP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WinXP</dc:creator>
  <cp:lastModifiedBy>User</cp:lastModifiedBy>
  <cp:lastPrinted>2016-03-18T06:18:13Z</cp:lastPrinted>
  <dcterms:created xsi:type="dcterms:W3CDTF">2006-03-26T23:24:20Z</dcterms:created>
  <dcterms:modified xsi:type="dcterms:W3CDTF">2016-03-18T06:40:03Z</dcterms:modified>
</cp:coreProperties>
</file>